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goldb\Downloads\"/>
    </mc:Choice>
  </mc:AlternateContent>
  <xr:revisionPtr revIDLastSave="0" documentId="13_ncr:1_{31841282-1913-4EC3-A153-A6CD665BC641}" xr6:coauthVersionLast="47" xr6:coauthVersionMax="47" xr10:uidLastSave="{00000000-0000-0000-0000-000000000000}"/>
  <bookViews>
    <workbookView xWindow="-120" yWindow="-120" windowWidth="29040" windowHeight="15720" tabRatio="500" xr2:uid="{00000000-000D-0000-FFFF-FFFF00000000}"/>
  </bookViews>
  <sheets>
    <sheet name="Cover" sheetId="1" r:id="rId1"/>
    <sheet name="Assumptions" sheetId="2" r:id="rId2"/>
    <sheet name="Revenue Drivers" sheetId="3" r:id="rId3"/>
    <sheet name="Model" sheetId="4" r:id="rId4"/>
    <sheet name="Summary" sheetId="8" r:id="rId5"/>
    <sheet name="Valuation" sheetId="5" r:id="rId6"/>
    <sheet name="NAV Analysis" sheetId="6" r:id="rId7"/>
    <sheet name="Sensitivities" sheetId="7" r:id="rId8"/>
    <sheet name="Soybean Yield History" sheetId="9" r:id="rId9"/>
    <sheet name="Land Value History" sheetId="10" r:id="rId10"/>
    <sheet name="Comps" sheetId="11" r:id="rId11"/>
    <sheet name="Sources" sheetId="12" r:id="rId1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59" i="10" l="1"/>
  <c r="I59" i="10"/>
  <c r="H59" i="10"/>
  <c r="G59" i="10"/>
  <c r="F59" i="10"/>
  <c r="E59" i="10"/>
  <c r="D59" i="10"/>
  <c r="C59" i="10"/>
  <c r="J55" i="10"/>
  <c r="I55" i="10"/>
  <c r="H55" i="10"/>
  <c r="G55" i="10"/>
  <c r="F55" i="10"/>
  <c r="E55" i="10"/>
  <c r="D55" i="10"/>
  <c r="C55" i="10"/>
  <c r="J50" i="10"/>
  <c r="I50" i="10"/>
  <c r="H50" i="10"/>
  <c r="G50" i="10"/>
  <c r="F50" i="10"/>
  <c r="E50" i="10"/>
  <c r="D50" i="10"/>
  <c r="J49" i="10"/>
  <c r="I49" i="10"/>
  <c r="H49" i="10"/>
  <c r="G49" i="10"/>
  <c r="F49" i="10"/>
  <c r="E49" i="10"/>
  <c r="D49" i="10"/>
  <c r="C49" i="10"/>
  <c r="J45" i="10"/>
  <c r="I45" i="10"/>
  <c r="H45" i="10"/>
  <c r="G45" i="10"/>
  <c r="F45" i="10"/>
  <c r="E45" i="10"/>
  <c r="D45" i="10"/>
  <c r="L19" i="10"/>
  <c r="K19" i="10"/>
  <c r="J19" i="10"/>
  <c r="I19" i="10"/>
  <c r="H19" i="10"/>
  <c r="G19" i="10"/>
  <c r="F19" i="10"/>
  <c r="E19" i="10"/>
  <c r="D19" i="10"/>
  <c r="L18" i="10"/>
  <c r="K18" i="10"/>
  <c r="J18" i="10"/>
  <c r="I18" i="10"/>
  <c r="H18" i="10"/>
  <c r="G18" i="10"/>
  <c r="F18" i="10"/>
  <c r="E18" i="10"/>
  <c r="D18" i="10"/>
  <c r="C18" i="10"/>
  <c r="L14" i="10"/>
  <c r="K14" i="10"/>
  <c r="J14" i="10"/>
  <c r="I14" i="10"/>
  <c r="L13" i="10"/>
  <c r="K13" i="10"/>
  <c r="J13" i="10"/>
  <c r="I13" i="10"/>
  <c r="H13" i="10"/>
  <c r="O30" i="9"/>
  <c r="N30" i="9"/>
  <c r="M30" i="9"/>
  <c r="L30" i="9"/>
  <c r="K30" i="9"/>
  <c r="J30" i="9"/>
  <c r="I30" i="9"/>
  <c r="H30" i="9"/>
  <c r="G30" i="9"/>
  <c r="F30" i="9"/>
  <c r="E30" i="9"/>
  <c r="D30" i="9"/>
  <c r="C30" i="9"/>
  <c r="O25" i="9"/>
  <c r="N25" i="9"/>
  <c r="M25" i="9"/>
  <c r="L25" i="9"/>
  <c r="K25" i="9"/>
  <c r="J25" i="9"/>
  <c r="I25" i="9"/>
  <c r="H25" i="9"/>
  <c r="G25" i="9"/>
  <c r="F25" i="9"/>
  <c r="E25" i="9"/>
  <c r="D25" i="9"/>
  <c r="C25" i="9"/>
  <c r="O22" i="9"/>
  <c r="N22" i="9"/>
  <c r="M22" i="9"/>
  <c r="L22" i="9"/>
  <c r="K22" i="9"/>
  <c r="J22" i="9"/>
  <c r="I22" i="9"/>
  <c r="H22" i="9"/>
  <c r="O19" i="9"/>
  <c r="N19" i="9"/>
  <c r="M19" i="9"/>
  <c r="L19" i="9"/>
  <c r="K19" i="9"/>
  <c r="J19" i="9"/>
  <c r="I19" i="9"/>
  <c r="H19" i="9"/>
  <c r="G19" i="9"/>
  <c r="F19" i="9"/>
  <c r="E19" i="9"/>
  <c r="D19" i="9"/>
  <c r="C19" i="9"/>
  <c r="O14" i="9"/>
  <c r="N14" i="9"/>
  <c r="M14" i="9"/>
  <c r="L14" i="9"/>
  <c r="K14" i="9"/>
  <c r="J14" i="9"/>
  <c r="I14" i="9"/>
  <c r="H14" i="9"/>
  <c r="G14" i="9"/>
  <c r="F14" i="9"/>
  <c r="E14" i="9"/>
  <c r="D14" i="9"/>
  <c r="C14" i="9"/>
  <c r="O12" i="9"/>
  <c r="N12" i="9"/>
  <c r="M12" i="9"/>
  <c r="L12" i="9"/>
  <c r="K12" i="9"/>
  <c r="J12" i="9"/>
  <c r="I12" i="9"/>
  <c r="H12" i="9"/>
  <c r="G12" i="9"/>
  <c r="F12" i="9"/>
  <c r="E12" i="9"/>
  <c r="D12" i="9"/>
  <c r="C12" i="9"/>
  <c r="O11" i="9"/>
  <c r="N11" i="9"/>
  <c r="M11" i="9"/>
  <c r="L11" i="9"/>
  <c r="K11" i="9"/>
  <c r="J11" i="9"/>
  <c r="I11" i="9"/>
  <c r="H11" i="9"/>
  <c r="G11" i="9"/>
  <c r="F11" i="9"/>
  <c r="E11" i="9"/>
  <c r="D11" i="9"/>
  <c r="O10" i="9"/>
  <c r="N10" i="9"/>
  <c r="M10" i="9"/>
  <c r="L10" i="9"/>
  <c r="K10" i="9"/>
  <c r="J10" i="9"/>
  <c r="I10" i="9"/>
  <c r="H10" i="9"/>
  <c r="G10" i="9"/>
  <c r="F10" i="9"/>
  <c r="E10" i="9"/>
  <c r="D10" i="9"/>
  <c r="C10" i="9"/>
  <c r="G28" i="8"/>
  <c r="F28" i="8"/>
  <c r="D28" i="8"/>
  <c r="F26" i="8"/>
  <c r="F27" i="8" s="1"/>
  <c r="C26" i="8"/>
  <c r="C27" i="8" s="1"/>
  <c r="C24" i="8"/>
  <c r="F23" i="8"/>
  <c r="E23" i="8"/>
  <c r="E26" i="8" s="1"/>
  <c r="E27" i="8" s="1"/>
  <c r="E29" i="8" s="1"/>
  <c r="D23" i="8"/>
  <c r="C23" i="8"/>
  <c r="G20" i="8"/>
  <c r="F20" i="8"/>
  <c r="E20" i="8"/>
  <c r="D20" i="8"/>
  <c r="C20" i="8"/>
  <c r="G19" i="8"/>
  <c r="F19" i="8"/>
  <c r="E19" i="8"/>
  <c r="D19" i="8"/>
  <c r="C19" i="8"/>
  <c r="G18" i="8"/>
  <c r="F18" i="8"/>
  <c r="E18" i="8"/>
  <c r="D18" i="8"/>
  <c r="C18" i="8"/>
  <c r="G17" i="8"/>
  <c r="F17" i="8"/>
  <c r="E17" i="8"/>
  <c r="D17" i="8"/>
  <c r="C17" i="8"/>
  <c r="G16" i="8"/>
  <c r="F16" i="8"/>
  <c r="E16" i="8"/>
  <c r="D16" i="8"/>
  <c r="C16" i="8"/>
  <c r="G15" i="8"/>
  <c r="F15" i="8"/>
  <c r="E15" i="8"/>
  <c r="D15" i="8"/>
  <c r="C15" i="8"/>
  <c r="G14" i="8"/>
  <c r="G30" i="8" s="1"/>
  <c r="F14" i="8"/>
  <c r="F30" i="8" s="1"/>
  <c r="E14" i="8"/>
  <c r="E30" i="8" s="1"/>
  <c r="D14" i="8"/>
  <c r="D30" i="8" s="1"/>
  <c r="C14" i="8"/>
  <c r="C30" i="8" s="1"/>
  <c r="G13" i="8"/>
  <c r="F13" i="8"/>
  <c r="E13" i="8"/>
  <c r="D13" i="8"/>
  <c r="C13" i="8"/>
  <c r="G12" i="8"/>
  <c r="F12" i="8"/>
  <c r="E12" i="8"/>
  <c r="E28" i="8" s="1"/>
  <c r="D12" i="8"/>
  <c r="C12" i="8"/>
  <c r="C28" i="8" s="1"/>
  <c r="G11" i="8"/>
  <c r="F11" i="8"/>
  <c r="E11" i="8"/>
  <c r="D11" i="8"/>
  <c r="D26" i="8" s="1"/>
  <c r="D27" i="8" s="1"/>
  <c r="D29" i="8" s="1"/>
  <c r="C11" i="8"/>
  <c r="C25" i="8" s="1"/>
  <c r="G10" i="8"/>
  <c r="G24" i="8" s="1"/>
  <c r="F10" i="8"/>
  <c r="F24" i="8" s="1"/>
  <c r="F25" i="8" s="1"/>
  <c r="E10" i="8"/>
  <c r="E24" i="8" s="1"/>
  <c r="E25" i="8" s="1"/>
  <c r="D10" i="8"/>
  <c r="D24" i="8" s="1"/>
  <c r="C10" i="8"/>
  <c r="G9" i="8"/>
  <c r="G23" i="8" s="1"/>
  <c r="F9" i="8"/>
  <c r="E9" i="8"/>
  <c r="D9" i="8"/>
  <c r="C9" i="8"/>
  <c r="H6" i="8"/>
  <c r="C65" i="6"/>
  <c r="C68" i="6" s="1"/>
  <c r="C50" i="6"/>
  <c r="R45" i="6"/>
  <c r="W43" i="6"/>
  <c r="V43" i="6"/>
  <c r="U43" i="6"/>
  <c r="T43" i="6"/>
  <c r="S43" i="6"/>
  <c r="R43" i="6"/>
  <c r="Q43" i="6"/>
  <c r="P43" i="6"/>
  <c r="O43" i="6"/>
  <c r="N43" i="6"/>
  <c r="M43" i="6"/>
  <c r="L43" i="6"/>
  <c r="K43" i="6"/>
  <c r="J43" i="6"/>
  <c r="I43" i="6"/>
  <c r="H43" i="6"/>
  <c r="G43" i="6"/>
  <c r="F43" i="6"/>
  <c r="E43" i="6"/>
  <c r="D43" i="6"/>
  <c r="C43" i="6"/>
  <c r="D37" i="6"/>
  <c r="C36" i="6"/>
  <c r="C20" i="6"/>
  <c r="C21" i="6" s="1"/>
  <c r="C18" i="6"/>
  <c r="C17" i="6"/>
  <c r="C12" i="5"/>
  <c r="C14" i="5" s="1"/>
  <c r="E84" i="4"/>
  <c r="D84" i="4"/>
  <c r="C84" i="4"/>
  <c r="K71" i="4"/>
  <c r="J71" i="4"/>
  <c r="I71" i="4"/>
  <c r="H71" i="4"/>
  <c r="G71" i="4"/>
  <c r="K69" i="4"/>
  <c r="J69" i="4"/>
  <c r="I69" i="4"/>
  <c r="H69" i="4"/>
  <c r="G69" i="4"/>
  <c r="K68" i="4"/>
  <c r="H68" i="4"/>
  <c r="G68" i="4"/>
  <c r="F68" i="4"/>
  <c r="E68" i="4"/>
  <c r="D68" i="4"/>
  <c r="C68" i="4"/>
  <c r="C62" i="4"/>
  <c r="C63" i="4" s="1"/>
  <c r="G61" i="4"/>
  <c r="F61" i="4"/>
  <c r="E61" i="4"/>
  <c r="E62" i="4" s="1"/>
  <c r="E63" i="4" s="1"/>
  <c r="D61" i="4"/>
  <c r="C61" i="4"/>
  <c r="G59" i="4"/>
  <c r="H59" i="4" s="1"/>
  <c r="E58" i="4"/>
  <c r="F57" i="4"/>
  <c r="F58" i="4" s="1"/>
  <c r="F80" i="4" s="1"/>
  <c r="F55" i="4"/>
  <c r="D31" i="8" s="1"/>
  <c r="E55" i="4"/>
  <c r="D55" i="4"/>
  <c r="C55" i="4"/>
  <c r="G45" i="4"/>
  <c r="K40" i="4"/>
  <c r="J40" i="4"/>
  <c r="I40" i="4"/>
  <c r="H40" i="4"/>
  <c r="G40" i="4"/>
  <c r="F40" i="4"/>
  <c r="E40" i="4"/>
  <c r="D40" i="4"/>
  <c r="C40" i="4"/>
  <c r="K38" i="4"/>
  <c r="J38" i="4"/>
  <c r="J68" i="4" s="1"/>
  <c r="I38" i="4"/>
  <c r="I68" i="4" s="1"/>
  <c r="H38" i="4"/>
  <c r="G38" i="4"/>
  <c r="E36" i="4"/>
  <c r="E39" i="4" s="1"/>
  <c r="E42" i="4" s="1"/>
  <c r="E43" i="4" s="1"/>
  <c r="C36" i="4"/>
  <c r="K34" i="4"/>
  <c r="J34" i="4"/>
  <c r="I34" i="4"/>
  <c r="H34" i="4"/>
  <c r="G34" i="4"/>
  <c r="K33" i="4"/>
  <c r="J33" i="4"/>
  <c r="I33" i="4"/>
  <c r="H33" i="4"/>
  <c r="G33" i="4"/>
  <c r="K32" i="4"/>
  <c r="H32" i="4"/>
  <c r="I32" i="4" s="1"/>
  <c r="J32" i="4" s="1"/>
  <c r="G32" i="4"/>
  <c r="F30" i="4"/>
  <c r="F36" i="4" s="1"/>
  <c r="F79" i="4" s="1"/>
  <c r="F82" i="4" s="1"/>
  <c r="F26" i="4"/>
  <c r="F27" i="4" s="1"/>
  <c r="E26" i="4"/>
  <c r="E30" i="4" s="1"/>
  <c r="D26" i="4"/>
  <c r="D30" i="4" s="1"/>
  <c r="D36" i="4" s="1"/>
  <c r="C26" i="4"/>
  <c r="C30" i="4" s="1"/>
  <c r="K25" i="4"/>
  <c r="J25" i="4"/>
  <c r="I25" i="4"/>
  <c r="H25" i="4"/>
  <c r="G25" i="4"/>
  <c r="J22" i="4"/>
  <c r="I22" i="4"/>
  <c r="C10" i="4"/>
  <c r="C9" i="4"/>
  <c r="C5" i="4"/>
  <c r="D52" i="3"/>
  <c r="D45" i="3"/>
  <c r="G44" i="3"/>
  <c r="D44" i="3"/>
  <c r="D46" i="3" s="1"/>
  <c r="C53" i="3" s="1"/>
  <c r="L42" i="3"/>
  <c r="L44" i="3" s="1"/>
  <c r="K42" i="3"/>
  <c r="H42" i="3"/>
  <c r="H44" i="3" s="1"/>
  <c r="H45" i="3" s="1"/>
  <c r="L39" i="3"/>
  <c r="K39" i="3"/>
  <c r="K44" i="3" s="1"/>
  <c r="H39" i="3"/>
  <c r="G39" i="3"/>
  <c r="F39" i="3"/>
  <c r="F44" i="3" s="1"/>
  <c r="E39" i="3"/>
  <c r="E44" i="3" s="1"/>
  <c r="D39" i="3"/>
  <c r="C39" i="3"/>
  <c r="C44" i="3" s="1"/>
  <c r="C45" i="3" s="1"/>
  <c r="G35" i="3"/>
  <c r="F35" i="3"/>
  <c r="E35" i="3"/>
  <c r="D35" i="3"/>
  <c r="C35" i="3"/>
  <c r="L32" i="3"/>
  <c r="K32" i="3"/>
  <c r="J32" i="3"/>
  <c r="J39" i="3" s="1"/>
  <c r="I29" i="3"/>
  <c r="H29" i="3"/>
  <c r="H35" i="3" s="1"/>
  <c r="G29" i="3"/>
  <c r="C28" i="2"/>
  <c r="C21" i="2"/>
  <c r="C49" i="6" s="1"/>
  <c r="C51" i="6" s="1"/>
  <c r="C20" i="2"/>
  <c r="C35" i="6" s="1"/>
  <c r="C19" i="2"/>
  <c r="S45" i="6" s="1"/>
  <c r="C18" i="2"/>
  <c r="G60" i="4" s="1"/>
  <c r="H60" i="4" s="1"/>
  <c r="I60" i="4" s="1"/>
  <c r="J60" i="4" s="1"/>
  <c r="K60" i="4" s="1"/>
  <c r="C17" i="2"/>
  <c r="C16" i="2"/>
  <c r="C15" i="2"/>
  <c r="C10" i="5" s="1"/>
  <c r="C14" i="2"/>
  <c r="C13" i="2"/>
  <c r="C12" i="2"/>
  <c r="K29" i="3" s="1"/>
  <c r="K35" i="3" s="1"/>
  <c r="C11" i="2"/>
  <c r="I32" i="3" s="1"/>
  <c r="C10" i="2"/>
  <c r="D6" i="2"/>
  <c r="K45" i="3" l="1"/>
  <c r="K46" i="3"/>
  <c r="L45" i="3"/>
  <c r="L46" i="3"/>
  <c r="K53" i="3" s="1"/>
  <c r="G46" i="3"/>
  <c r="F62" i="4"/>
  <c r="F63" i="4" s="1"/>
  <c r="C7" i="6"/>
  <c r="E78" i="4"/>
  <c r="D32" i="8"/>
  <c r="D51" i="8" s="1"/>
  <c r="F46" i="4"/>
  <c r="F48" i="4" s="1"/>
  <c r="F78" i="4"/>
  <c r="F81" i="4" s="1"/>
  <c r="F39" i="4"/>
  <c r="F42" i="4" s="1"/>
  <c r="D46" i="4"/>
  <c r="D48" i="4" s="1"/>
  <c r="D78" i="4"/>
  <c r="D79" i="4"/>
  <c r="C23" i="6"/>
  <c r="D38" i="8"/>
  <c r="D34" i="8"/>
  <c r="I35" i="3"/>
  <c r="I39" i="3"/>
  <c r="I44" i="3" s="1"/>
  <c r="L35" i="3"/>
  <c r="G26" i="8"/>
  <c r="G27" i="8" s="1"/>
  <c r="G29" i="8" s="1"/>
  <c r="G25" i="8"/>
  <c r="E34" i="8"/>
  <c r="E38" i="8"/>
  <c r="E80" i="4"/>
  <c r="G45" i="3"/>
  <c r="F45" i="3"/>
  <c r="F46" i="3"/>
  <c r="I59" i="4"/>
  <c r="H61" i="4"/>
  <c r="E56" i="4"/>
  <c r="O45" i="6"/>
  <c r="M45" i="6"/>
  <c r="L45" i="6"/>
  <c r="K45" i="6"/>
  <c r="I45" i="6"/>
  <c r="J45" i="6"/>
  <c r="C34" i="6"/>
  <c r="W45" i="6"/>
  <c r="G45" i="6"/>
  <c r="V45" i="6"/>
  <c r="F45" i="6"/>
  <c r="U45" i="6"/>
  <c r="E45" i="6"/>
  <c r="T45" i="6"/>
  <c r="D45" i="6"/>
  <c r="Q45" i="6"/>
  <c r="P45" i="6"/>
  <c r="N45" i="6"/>
  <c r="D27" i="4"/>
  <c r="E45" i="3"/>
  <c r="E46" i="3"/>
  <c r="C15" i="4"/>
  <c r="C13" i="4"/>
  <c r="C29" i="8"/>
  <c r="C52" i="6"/>
  <c r="C53" i="6" s="1"/>
  <c r="C54" i="6" s="1"/>
  <c r="C57" i="6" s="1"/>
  <c r="C6" i="3"/>
  <c r="C4" i="5"/>
  <c r="H46" i="3"/>
  <c r="C45" i="6"/>
  <c r="F29" i="8"/>
  <c r="C79" i="4"/>
  <c r="C82" i="4" s="1"/>
  <c r="C46" i="4"/>
  <c r="C48" i="4" s="1"/>
  <c r="C78" i="4"/>
  <c r="C81" i="4" s="1"/>
  <c r="C39" i="4"/>
  <c r="C42" i="4" s="1"/>
  <c r="C43" i="4" s="1"/>
  <c r="E46" i="4"/>
  <c r="E48" i="4" s="1"/>
  <c r="E79" i="4"/>
  <c r="D39" i="4"/>
  <c r="D42" i="4" s="1"/>
  <c r="C46" i="3"/>
  <c r="C52" i="3" s="1"/>
  <c r="C54" i="3" s="1"/>
  <c r="J42" i="3"/>
  <c r="J44" i="3" s="1"/>
  <c r="I42" i="3"/>
  <c r="D58" i="4"/>
  <c r="D80" i="4" s="1"/>
  <c r="D62" i="4"/>
  <c r="D63" i="4" s="1"/>
  <c r="H45" i="6"/>
  <c r="E27" i="4"/>
  <c r="E31" i="8"/>
  <c r="E32" i="8" s="1"/>
  <c r="E51" i="8" s="1"/>
  <c r="D25" i="8"/>
  <c r="F31" i="8"/>
  <c r="F32" i="8" s="1"/>
  <c r="F51" i="8" s="1"/>
  <c r="F84" i="4"/>
  <c r="C59" i="6"/>
  <c r="J29" i="3"/>
  <c r="J35" i="3" s="1"/>
  <c r="K22" i="4"/>
  <c r="L29" i="3"/>
  <c r="C58" i="4"/>
  <c r="C80" i="4" s="1"/>
  <c r="C8" i="6"/>
  <c r="C26" i="6" s="1"/>
  <c r="C37" i="6"/>
  <c r="F52" i="8" l="1"/>
  <c r="F54" i="8" s="1"/>
  <c r="F53" i="8"/>
  <c r="E52" i="8"/>
  <c r="E54" i="8" s="1"/>
  <c r="E53" i="8"/>
  <c r="J45" i="3"/>
  <c r="J46" i="3"/>
  <c r="D85" i="4"/>
  <c r="D67" i="4"/>
  <c r="D70" i="4" s="1"/>
  <c r="D72" i="4" s="1"/>
  <c r="D74" i="4" s="1"/>
  <c r="D86" i="4"/>
  <c r="D49" i="4"/>
  <c r="E45" i="8"/>
  <c r="E39" i="8"/>
  <c r="E82" i="4"/>
  <c r="G33" i="8"/>
  <c r="F33" i="8"/>
  <c r="E33" i="8"/>
  <c r="D33" i="8"/>
  <c r="F43" i="4"/>
  <c r="C33" i="8"/>
  <c r="C85" i="4"/>
  <c r="C67" i="4"/>
  <c r="C70" i="4" s="1"/>
  <c r="C72" i="4" s="1"/>
  <c r="C74" i="4" s="1"/>
  <c r="C86" i="4"/>
  <c r="C49" i="4"/>
  <c r="F56" i="4"/>
  <c r="H52" i="3"/>
  <c r="G53" i="3"/>
  <c r="E52" i="3"/>
  <c r="D53" i="3"/>
  <c r="D54" i="3" s="1"/>
  <c r="G38" i="8"/>
  <c r="G34" i="8"/>
  <c r="G31" i="8"/>
  <c r="G32" i="8" s="1"/>
  <c r="G51" i="8" s="1"/>
  <c r="G52" i="3"/>
  <c r="F53" i="3"/>
  <c r="I45" i="3"/>
  <c r="I46" i="3"/>
  <c r="C9" i="6"/>
  <c r="C10" i="6" s="1"/>
  <c r="C77" i="6"/>
  <c r="D45" i="8"/>
  <c r="D39" i="8"/>
  <c r="C25" i="6"/>
  <c r="C24" i="6"/>
  <c r="C27" i="6"/>
  <c r="K52" i="3"/>
  <c r="K54" i="3" s="1"/>
  <c r="K24" i="4" s="1"/>
  <c r="K26" i="4" s="1"/>
  <c r="J53" i="3"/>
  <c r="E67" i="4"/>
  <c r="E70" i="4" s="1"/>
  <c r="E72" i="4" s="1"/>
  <c r="E74" i="4" s="1"/>
  <c r="E86" i="4"/>
  <c r="E85" i="4"/>
  <c r="E49" i="4"/>
  <c r="F85" i="4"/>
  <c r="F67" i="4"/>
  <c r="F70" i="4" s="1"/>
  <c r="F72" i="4" s="1"/>
  <c r="F74" i="4" s="1"/>
  <c r="F49" i="4"/>
  <c r="F86" i="4"/>
  <c r="D52" i="8"/>
  <c r="D54" i="8" s="1"/>
  <c r="D53" i="8"/>
  <c r="E81" i="4"/>
  <c r="F52" i="3"/>
  <c r="F54" i="3" s="1"/>
  <c r="E53" i="3"/>
  <c r="D82" i="4"/>
  <c r="F38" i="8"/>
  <c r="F34" i="8"/>
  <c r="C56" i="4"/>
  <c r="J59" i="4"/>
  <c r="I61" i="4"/>
  <c r="D43" i="4"/>
  <c r="D56" i="4"/>
  <c r="C34" i="8"/>
  <c r="C31" i="8"/>
  <c r="C32" i="8" s="1"/>
  <c r="C51" i="8" s="1"/>
  <c r="C38" i="8"/>
  <c r="D81" i="4"/>
  <c r="F39" i="8" l="1"/>
  <c r="F46" i="8" s="1"/>
  <c r="F45" i="8"/>
  <c r="K29" i="4"/>
  <c r="K30" i="4"/>
  <c r="K36" i="4" s="1"/>
  <c r="E41" i="8"/>
  <c r="E40" i="8"/>
  <c r="E44" i="8"/>
  <c r="G45" i="8"/>
  <c r="G39" i="8"/>
  <c r="E54" i="3"/>
  <c r="D40" i="8"/>
  <c r="D41" i="8"/>
  <c r="D44" i="8"/>
  <c r="C53" i="8"/>
  <c r="C52" i="8"/>
  <c r="C54" i="8" s="1"/>
  <c r="H59" i="8"/>
  <c r="H60" i="8" s="1"/>
  <c r="F77" i="6"/>
  <c r="E77" i="6"/>
  <c r="D77" i="6"/>
  <c r="H53" i="3"/>
  <c r="I52" i="3"/>
  <c r="E46" i="8"/>
  <c r="C45" i="8"/>
  <c r="C39" i="8"/>
  <c r="C46" i="8" s="1"/>
  <c r="H54" i="3"/>
  <c r="H24" i="4" s="1"/>
  <c r="H26" i="4" s="1"/>
  <c r="I53" i="3"/>
  <c r="J52" i="3"/>
  <c r="J54" i="3" s="1"/>
  <c r="J24" i="4" s="1"/>
  <c r="J26" i="4" s="1"/>
  <c r="K27" i="4" s="1"/>
  <c r="K59" i="4"/>
  <c r="K61" i="4" s="1"/>
  <c r="J61" i="4"/>
  <c r="C28" i="6"/>
  <c r="C78" i="6"/>
  <c r="D46" i="8"/>
  <c r="G54" i="3"/>
  <c r="G24" i="4" s="1"/>
  <c r="G26" i="4" s="1"/>
  <c r="G53" i="8"/>
  <c r="G52" i="8"/>
  <c r="G54" i="8" s="1"/>
  <c r="G41" i="8" l="1"/>
  <c r="G40" i="8"/>
  <c r="G44" i="8"/>
  <c r="H29" i="4"/>
  <c r="H30" i="4" s="1"/>
  <c r="H36" i="4" s="1"/>
  <c r="H27" i="4"/>
  <c r="I54" i="3"/>
  <c r="I24" i="4" s="1"/>
  <c r="I26" i="4" s="1"/>
  <c r="G29" i="4"/>
  <c r="G30" i="4" s="1"/>
  <c r="G36" i="4" s="1"/>
  <c r="G27" i="4"/>
  <c r="K78" i="4"/>
  <c r="K39" i="4"/>
  <c r="K42" i="4" s="1"/>
  <c r="C40" i="8"/>
  <c r="C41" i="8"/>
  <c r="C44" i="8"/>
  <c r="H61" i="8"/>
  <c r="J29" i="4"/>
  <c r="J30" i="4"/>
  <c r="J36" i="4" s="1"/>
  <c r="G46" i="8"/>
  <c r="F78" i="6"/>
  <c r="D78" i="6"/>
  <c r="E78" i="6"/>
  <c r="F40" i="8"/>
  <c r="F41" i="8"/>
  <c r="F44" i="8"/>
  <c r="G78" i="4" l="1"/>
  <c r="G39" i="4"/>
  <c r="G42" i="4" s="1"/>
  <c r="G46" i="4"/>
  <c r="H78" i="4"/>
  <c r="H39" i="4"/>
  <c r="H42" i="4" s="1"/>
  <c r="J78" i="4"/>
  <c r="J39" i="4"/>
  <c r="J42" i="4" s="1"/>
  <c r="K43" i="4"/>
  <c r="G41" i="6"/>
  <c r="K79" i="4"/>
  <c r="I29" i="4"/>
  <c r="I30" i="4" s="1"/>
  <c r="I36" i="4" s="1"/>
  <c r="I27" i="4"/>
  <c r="J27" i="4"/>
  <c r="I78" i="4" l="1"/>
  <c r="I39" i="4"/>
  <c r="I42" i="4" s="1"/>
  <c r="H41" i="6"/>
  <c r="G44" i="6"/>
  <c r="G42" i="6"/>
  <c r="J43" i="4"/>
  <c r="F41" i="6"/>
  <c r="J79" i="4"/>
  <c r="H43" i="4"/>
  <c r="D41" i="6"/>
  <c r="H79" i="4"/>
  <c r="G48" i="4"/>
  <c r="G47" i="4"/>
  <c r="C41" i="6"/>
  <c r="G43" i="4"/>
  <c r="G79" i="4"/>
  <c r="F42" i="6" l="1"/>
  <c r="F44" i="6"/>
  <c r="D42" i="6"/>
  <c r="D44" i="6" s="1"/>
  <c r="G57" i="4"/>
  <c r="G67" i="4"/>
  <c r="G70" i="4" s="1"/>
  <c r="G72" i="4" s="1"/>
  <c r="G49" i="4"/>
  <c r="H42" i="6"/>
  <c r="I41" i="6"/>
  <c r="H44" i="6"/>
  <c r="C42" i="6"/>
  <c r="C44" i="6"/>
  <c r="G26" i="7"/>
  <c r="E24" i="7"/>
  <c r="C22" i="7"/>
  <c r="E26" i="7"/>
  <c r="C24" i="7"/>
  <c r="D26" i="7"/>
  <c r="I23" i="7"/>
  <c r="C26" i="7"/>
  <c r="H23" i="7"/>
  <c r="H25" i="7"/>
  <c r="F23" i="7"/>
  <c r="I25" i="7"/>
  <c r="G23" i="7"/>
  <c r="H27" i="7"/>
  <c r="F25" i="7"/>
  <c r="D23" i="7"/>
  <c r="G27" i="7"/>
  <c r="E25" i="7"/>
  <c r="C23" i="7"/>
  <c r="F27" i="7"/>
  <c r="D25" i="7"/>
  <c r="I22" i="7"/>
  <c r="E27" i="7"/>
  <c r="C25" i="7"/>
  <c r="H22" i="7"/>
  <c r="D27" i="7"/>
  <c r="I24" i="7"/>
  <c r="G22" i="7"/>
  <c r="I26" i="7"/>
  <c r="G24" i="7"/>
  <c r="E22" i="7"/>
  <c r="E41" i="6"/>
  <c r="F26" i="7"/>
  <c r="D24" i="7"/>
  <c r="H26" i="7"/>
  <c r="F24" i="7"/>
  <c r="D22" i="7"/>
  <c r="E23" i="7"/>
  <c r="I43" i="4"/>
  <c r="F22" i="7"/>
  <c r="I27" i="7"/>
  <c r="C27" i="7"/>
  <c r="G25" i="7"/>
  <c r="H24" i="7"/>
  <c r="H68" i="6"/>
  <c r="G46" i="6"/>
  <c r="I79" i="4"/>
  <c r="E68" i="6" l="1"/>
  <c r="D46" i="6"/>
  <c r="E42" i="6"/>
  <c r="E44" i="6"/>
  <c r="E40" i="7"/>
  <c r="G37" i="7"/>
  <c r="C35" i="7"/>
  <c r="H34" i="7"/>
  <c r="C40" i="7"/>
  <c r="E37" i="7"/>
  <c r="G34" i="7"/>
  <c r="E39" i="7"/>
  <c r="H39" i="7"/>
  <c r="D37" i="7"/>
  <c r="F34" i="7"/>
  <c r="G39" i="7"/>
  <c r="D68" i="6"/>
  <c r="G36" i="7"/>
  <c r="C34" i="7"/>
  <c r="F39" i="7"/>
  <c r="H36" i="7"/>
  <c r="D34" i="7"/>
  <c r="G41" i="7"/>
  <c r="C39" i="7"/>
  <c r="E36" i="7"/>
  <c r="C36" i="7"/>
  <c r="F41" i="7"/>
  <c r="H38" i="7"/>
  <c r="D36" i="7"/>
  <c r="E41" i="7"/>
  <c r="H35" i="7"/>
  <c r="C41" i="7"/>
  <c r="E38" i="7"/>
  <c r="G35" i="7"/>
  <c r="G40" i="7"/>
  <c r="C38" i="7"/>
  <c r="E35" i="7"/>
  <c r="D40" i="7"/>
  <c r="F40" i="7"/>
  <c r="H37" i="7"/>
  <c r="D35" i="7"/>
  <c r="F37" i="7"/>
  <c r="H40" i="7"/>
  <c r="D38" i="7"/>
  <c r="F36" i="7"/>
  <c r="F35" i="7"/>
  <c r="C46" i="6"/>
  <c r="H46" i="6"/>
  <c r="I68" i="6"/>
  <c r="G84" i="4"/>
  <c r="I42" i="6"/>
  <c r="J41" i="6"/>
  <c r="I44" i="6"/>
  <c r="F46" i="6"/>
  <c r="G68" i="6"/>
  <c r="G54" i="4"/>
  <c r="G86" i="4" l="1"/>
  <c r="G85" i="4"/>
  <c r="J68" i="6"/>
  <c r="I46" i="6"/>
  <c r="F68" i="6"/>
  <c r="E46" i="6"/>
  <c r="F38" i="7"/>
  <c r="H41" i="7"/>
  <c r="D41" i="7"/>
  <c r="E34" i="7"/>
  <c r="J42" i="6"/>
  <c r="K41" i="6"/>
  <c r="J44" i="6"/>
  <c r="H45" i="4"/>
  <c r="H46" i="4" s="1"/>
  <c r="G73" i="4"/>
  <c r="G74" i="4" s="1"/>
  <c r="G53" i="4" s="1"/>
  <c r="D39" i="7"/>
  <c r="G38" i="7"/>
  <c r="C37" i="7"/>
  <c r="K42" i="6" l="1"/>
  <c r="K44" i="6"/>
  <c r="L41" i="6"/>
  <c r="H47" i="4"/>
  <c r="H48" i="4" s="1"/>
  <c r="J46" i="6"/>
  <c r="K68" i="6"/>
  <c r="G55" i="4"/>
  <c r="H67" i="4" l="1"/>
  <c r="H70" i="4" s="1"/>
  <c r="H72" i="4" s="1"/>
  <c r="H49" i="4"/>
  <c r="H57" i="4"/>
  <c r="G56" i="4"/>
  <c r="G62" i="4"/>
  <c r="G63" i="4" s="1"/>
  <c r="G58" i="4"/>
  <c r="G80" i="4" s="1"/>
  <c r="L42" i="6"/>
  <c r="L44" i="6" s="1"/>
  <c r="M41" i="6"/>
  <c r="L68" i="6"/>
  <c r="K46" i="6"/>
  <c r="M68" i="6" l="1"/>
  <c r="L46" i="6"/>
  <c r="N41" i="6"/>
  <c r="M42" i="6"/>
  <c r="M44" i="6" s="1"/>
  <c r="G81" i="4"/>
  <c r="G82" i="4"/>
  <c r="H84" i="4"/>
  <c r="H54" i="4"/>
  <c r="N68" i="6" l="1"/>
  <c r="M46" i="6"/>
  <c r="H73" i="4"/>
  <c r="H74" i="4" s="1"/>
  <c r="H53" i="4" s="1"/>
  <c r="H55" i="4" s="1"/>
  <c r="I45" i="4"/>
  <c r="I46" i="4" s="1"/>
  <c r="H86" i="4"/>
  <c r="H85" i="4"/>
  <c r="N42" i="6"/>
  <c r="O41" i="6"/>
  <c r="N44" i="6"/>
  <c r="H56" i="4" l="1"/>
  <c r="H62" i="4"/>
  <c r="H63" i="4" s="1"/>
  <c r="H58" i="4"/>
  <c r="H80" i="4" s="1"/>
  <c r="O68" i="6"/>
  <c r="N46" i="6"/>
  <c r="P41" i="6"/>
  <c r="O42" i="6"/>
  <c r="O44" i="6" s="1"/>
  <c r="I48" i="4"/>
  <c r="I47" i="4"/>
  <c r="P68" i="6" l="1"/>
  <c r="O46" i="6"/>
  <c r="I49" i="4"/>
  <c r="I67" i="4"/>
  <c r="I70" i="4" s="1"/>
  <c r="I72" i="4" s="1"/>
  <c r="I57" i="4"/>
  <c r="Q41" i="6"/>
  <c r="P42" i="6"/>
  <c r="P44" i="6" s="1"/>
  <c r="H81" i="4"/>
  <c r="H82" i="4"/>
  <c r="P46" i="6" l="1"/>
  <c r="Q68" i="6"/>
  <c r="I54" i="4"/>
  <c r="R41" i="6"/>
  <c r="Q42" i="6"/>
  <c r="Q44" i="6" s="1"/>
  <c r="I84" i="4"/>
  <c r="R68" i="6" l="1"/>
  <c r="Q46" i="6"/>
  <c r="I86" i="4"/>
  <c r="I85" i="4"/>
  <c r="S41" i="6"/>
  <c r="R42" i="6"/>
  <c r="R44" i="6" s="1"/>
  <c r="I73" i="4"/>
  <c r="I74" i="4" s="1"/>
  <c r="I53" i="4" s="1"/>
  <c r="I55" i="4"/>
  <c r="J45" i="4"/>
  <c r="J46" i="4" s="1"/>
  <c r="S68" i="6" l="1"/>
  <c r="R46" i="6"/>
  <c r="J47" i="4"/>
  <c r="J48" i="4" s="1"/>
  <c r="I56" i="4"/>
  <c r="I62" i="4"/>
  <c r="I63" i="4" s="1"/>
  <c r="C9" i="5" s="1"/>
  <c r="C11" i="5" s="1"/>
  <c r="I58" i="4"/>
  <c r="I80" i="4" s="1"/>
  <c r="S42" i="6"/>
  <c r="T41" i="6"/>
  <c r="S44" i="6"/>
  <c r="J67" i="4" l="1"/>
  <c r="J70" i="4" s="1"/>
  <c r="J72" i="4" s="1"/>
  <c r="J49" i="4"/>
  <c r="J57" i="4"/>
  <c r="T44" i="6"/>
  <c r="T42" i="6"/>
  <c r="U41" i="6"/>
  <c r="C17" i="5"/>
  <c r="C15" i="5"/>
  <c r="T68" i="6"/>
  <c r="S46" i="6"/>
  <c r="I81" i="4"/>
  <c r="I82" i="4"/>
  <c r="U42" i="6" l="1"/>
  <c r="U44" i="6"/>
  <c r="V41" i="6"/>
  <c r="C16" i="5"/>
  <c r="C23" i="5"/>
  <c r="U68" i="6"/>
  <c r="T46" i="6"/>
  <c r="J84" i="4"/>
  <c r="J54" i="4"/>
  <c r="J73" i="4" l="1"/>
  <c r="J74" i="4" s="1"/>
  <c r="J53" i="4" s="1"/>
  <c r="J55" i="4"/>
  <c r="K45" i="4"/>
  <c r="K46" i="4" s="1"/>
  <c r="V68" i="6"/>
  <c r="U46" i="6"/>
  <c r="J86" i="4"/>
  <c r="J85" i="4"/>
  <c r="V42" i="6"/>
  <c r="V44" i="6"/>
  <c r="W41" i="6"/>
  <c r="V46" i="6" l="1"/>
  <c r="W68" i="6"/>
  <c r="K47" i="4"/>
  <c r="K48" i="4"/>
  <c r="W42" i="6"/>
  <c r="W44" i="6" s="1"/>
  <c r="J56" i="4"/>
  <c r="J62" i="4"/>
  <c r="J63" i="4" s="1"/>
  <c r="J58" i="4"/>
  <c r="J80" i="4" s="1"/>
  <c r="X68" i="6" l="1"/>
  <c r="C69" i="6" s="1"/>
  <c r="C70" i="6" s="1"/>
  <c r="W46" i="6"/>
  <c r="C56" i="6" s="1"/>
  <c r="C58" i="6" s="1"/>
  <c r="C60" i="6" s="1"/>
  <c r="K49" i="4"/>
  <c r="K67" i="4"/>
  <c r="K70" i="4" s="1"/>
  <c r="K72" i="4" s="1"/>
  <c r="K57" i="4"/>
  <c r="J81" i="4"/>
  <c r="J82" i="4"/>
  <c r="K54" i="4" l="1"/>
  <c r="K84" i="4"/>
  <c r="C79" i="6"/>
  <c r="C61" i="6"/>
  <c r="K73" i="4" l="1"/>
  <c r="K74" i="4" s="1"/>
  <c r="K53" i="4" s="1"/>
  <c r="K55" i="4" s="1"/>
  <c r="F79" i="6"/>
  <c r="E79" i="6"/>
  <c r="D79" i="6"/>
  <c r="C22" i="5"/>
  <c r="C24" i="5" s="1"/>
  <c r="K86" i="4"/>
  <c r="K85" i="4"/>
  <c r="K56" i="4" l="1"/>
  <c r="K62" i="4"/>
  <c r="K63" i="4" s="1"/>
  <c r="K58" i="4"/>
  <c r="K80" i="4" s="1"/>
  <c r="C26" i="5"/>
  <c r="C25" i="5"/>
  <c r="C4" i="7"/>
  <c r="K81" i="4" l="1"/>
  <c r="K82" i="4"/>
</calcChain>
</file>

<file path=xl/sharedStrings.xml><?xml version="1.0" encoding="utf-8"?>
<sst xmlns="http://schemas.openxmlformats.org/spreadsheetml/2006/main" count="854" uniqueCount="674">
  <si>
    <t>LAND3 — Terra Santa Propriedades Agricolas S.A.</t>
  </si>
  <si>
    <t>LEGEND</t>
  </si>
  <si>
    <t>Financial Model &amp; Trading Comps  |  As of April 25, 2026</t>
  </si>
  <si>
    <t>Hardcoded input</t>
  </si>
  <si>
    <t>Cross-sheet link</t>
  </si>
  <si>
    <t>Same-sheet formula</t>
  </si>
  <si>
    <t>Key driver / editable</t>
  </si>
  <si>
    <t>THESIS</t>
  </si>
  <si>
    <t>Computed output</t>
  </si>
  <si>
    <t>LAND3 is a Brazilian farmland-leasing vehicle (effectively a single-tenant farmland REIT) trading at ~30% of disclosed NAV. The structure: 80.2k ha owned across six MT fazendas, of which 39.1k ha are leased to SLC Agricola through 2046 at 20.5 sacas of soy/ha/year, repriced every 3 years (next 2028). The 2025 result was clouded by a R$64M one-time contingency reclassification (probable→provisioned) and a R$63M prior-period property write-off (4,570 ha of phantom or non-possessed land). On adjusted EBITDA of R$66.5M and a R$2,021M nominal contractual lease stream through 2046, the EV/Adj.EBITDA is ~13x and ND/Adj.EBITDA 0.86x. Re-rating catalyst is the 2026 cleanup year (no more contingency drag) and the 2028 contract reset.</t>
  </si>
  <si>
    <t>Historical actual</t>
  </si>
  <si>
    <t>SNAPSHOT</t>
  </si>
  <si>
    <t>Ticker / Exchange</t>
  </si>
  <si>
    <t>LAND3 / B3</t>
  </si>
  <si>
    <t>Share price (R$)</t>
  </si>
  <si>
    <t>Diluted shares (mm)</t>
  </si>
  <si>
    <t>Market cap (R$mm)</t>
  </si>
  <si>
    <t>Net debt (YE25, R$mm)</t>
  </si>
  <si>
    <t>Enterprise value (R$mm)</t>
  </si>
  <si>
    <t>Disclosed NAV (R$mm)</t>
  </si>
  <si>
    <t>NAV / share (R$)</t>
  </si>
  <si>
    <t>WORKBOOK CONTENTS</t>
  </si>
  <si>
    <t>Cover</t>
  </si>
  <si>
    <t>This sheet — overview, snapshot, thesis</t>
  </si>
  <si>
    <t>Assumptions</t>
  </si>
  <si>
    <t>5-scenario inputs + active case selector (9 drivers)</t>
  </si>
  <si>
    <t>Model</t>
  </si>
  <si>
    <t>3-statement historicals (2022A-2025A) + projections (2026E-2030E)</t>
  </si>
  <si>
    <t>Revenue Drivers</t>
  </si>
  <si>
    <t>Productivity-share decomposition: ha × productivity × take rate × R$/sc</t>
  </si>
  <si>
    <t>Valuation</t>
  </si>
  <si>
    <t>Active case P/NAV + EV/Adj.EBITDA → blended target</t>
  </si>
  <si>
    <t>Sensitivities</t>
  </si>
  <si>
    <t>Two-way tables on blended target (NAV×P/NAV, EBITDA×multiple)</t>
  </si>
  <si>
    <t>Summary</t>
  </si>
  <si>
    <t>All 5 scenarios side-by-side + probability-weighted expected value &amp; IRR</t>
  </si>
  <si>
    <t>Comps</t>
  </si>
  <si>
    <t>Public-equity comps: BR farmland/agribusiness + global farmland REITs</t>
  </si>
  <si>
    <t>Sources</t>
  </si>
  <si>
    <t>Source list &amp; caveats</t>
  </si>
  <si>
    <t>Hardcode</t>
  </si>
  <si>
    <t>ASSUMPTIONS — driver inputs by case</t>
  </si>
  <si>
    <t>Calc</t>
  </si>
  <si>
    <t>Driver</t>
  </si>
  <si>
    <t>Output</t>
  </si>
  <si>
    <t>ACTIVE CASE SELECTOR (1=Bear, 2=Down, 3=Base, 4=Up, 5=Bull)</t>
  </si>
  <si>
    <t>Active case #</t>
  </si>
  <si>
    <t>ACTIVE DRIVER VALUES (live)</t>
  </si>
  <si>
    <t>Active value</t>
  </si>
  <si>
    <t>Soy price R$/sc — 2030E target</t>
  </si>
  <si>
    <t>Sacas/ha — 2028 contract reset</t>
  </si>
  <si>
    <t>SLC productivity 2030E target (sacas/ha)</t>
  </si>
  <si>
    <t>Annual G&amp;A growth (%)</t>
  </si>
  <si>
    <t>Opex 'Other' recurring (R$mm/yr)</t>
  </si>
  <si>
    <t>Exit P / NAV (target)</t>
  </si>
  <si>
    <t>WACC</t>
  </si>
  <si>
    <t>Leased cropland annual growth</t>
  </si>
  <si>
    <t>Non-leased land annual growth</t>
  </si>
  <si>
    <t>DCF discount rate (NAV Analysis)</t>
  </si>
  <si>
    <t>LT Adj.EBITDA CAGR (post-2030E)</t>
  </si>
  <si>
    <t>LT cropland appreciation CAGR</t>
  </si>
  <si>
    <t>SCENARIO CASES (productivity anchored to MT historical SD analysis)</t>
  </si>
  <si>
    <t>Bear</t>
  </si>
  <si>
    <t>Downside</t>
  </si>
  <si>
    <t>Base</t>
  </si>
  <si>
    <t>Upside</t>
  </si>
  <si>
    <t>Bull</t>
  </si>
  <si>
    <t>Case #</t>
  </si>
  <si>
    <t>Probability weight</t>
  </si>
  <si>
    <t xml:space="preserve">  Σ weights</t>
  </si>
  <si>
    <t>Narrative</t>
  </si>
  <si>
    <t>Productivity stagnates at 65 (below trend); SLC pushes for take cut at 2028 due to rising costs; soy R$120</t>
  </si>
  <si>
    <t>Productivity 68 (modest below-trend); SLC negotiates 2028 reset modestly higher; soy R$130</t>
  </si>
  <si>
    <t>Productivity tracks MT historical trend: 67 (2025/26) + 5×0.91 sacas/yr ≈ 72 by 2030. +1.5 sacas at 2028 reset; soy R$140</t>
  </si>
  <si>
    <t>Productivity 76 (above trend); +2.5 sacas at 2028 reset to 23.0; soy R$150</t>
  </si>
  <si>
    <t>Productivity 79 — non-irrigated catches up to SLC's irrigated benchmark; full +3.5 reset to 24; soy R$160</t>
  </si>
  <si>
    <t>Triggers to watch</t>
  </si>
  <si>
    <t>Climate disruption persists; BR ag input cost spiral; soy price stuck low</t>
  </si>
  <si>
    <t>Sideways commodities; muted productivity gains; cost pressures balance gains</t>
  </si>
  <si>
    <t>Normal weather; trend yield gains continue; market re-rates partially toward NAV</t>
  </si>
  <si>
    <t>Genetics + tech advances; favorable weather cycle; productivity-led contract push</t>
  </si>
  <si>
    <t>Irrigation rollout on LAND3 land; commodity strength; activist re-rating</t>
  </si>
  <si>
    <t>Driver values</t>
  </si>
  <si>
    <t>OPERATING ASSUMPTIONS — projection-only inputs (not scenario-dependent)</t>
  </si>
  <si>
    <t>Hedge accounting projection (R$mm/yr)</t>
  </si>
  <si>
    <t>Stock-based comp projection (R$mm/yr)</t>
  </si>
  <si>
    <t>D&amp;A projection (R$mm/yr)</t>
  </si>
  <si>
    <t>Capex projection (R$mm/yr)</t>
  </si>
  <si>
    <t>CPV % of net revenue</t>
  </si>
  <si>
    <t>Effective interest rate on debt</t>
  </si>
  <si>
    <t>Effective tax rate (on positive pretax)</t>
  </si>
  <si>
    <t>Working capital change (R$mm/yr)</t>
  </si>
  <si>
    <t>2025 book equity (R$mm) — anchor</t>
  </si>
  <si>
    <t>Scheduled debt amort 2026E (R$mm, ABS)</t>
  </si>
  <si>
    <t>Scheduled debt amort 2027E (R$mm, ABS)</t>
  </si>
  <si>
    <t>Scheduled debt amort 2028E (R$mm, ABS)</t>
  </si>
  <si>
    <t>Scheduled debt amort 2029E (R$mm, ABS)</t>
  </si>
  <si>
    <t>Scheduled debt amort 2030E (R$mm, ABS)</t>
  </si>
  <si>
    <t>MT premium cropland comp (R$/ha)</t>
  </si>
  <si>
    <t>MT pasture/reserve comp (R$/ha)</t>
  </si>
  <si>
    <t>Sale tax (lucro presumido)</t>
  </si>
  <si>
    <t>LT reserve appreciation CAGR</t>
  </si>
  <si>
    <t>Terminal year (lease end)</t>
  </si>
  <si>
    <t>Current diluted shares (M)</t>
  </si>
  <si>
    <t>Annual share dilution rate (LT)</t>
  </si>
  <si>
    <t>Notes: Soy price interpolates linearly from 2025/26 base R$108.85/sc to 2030E target. SLC productivity interpolates from 2025/26 base 67 sacas/ha to 2030E target. Productivity scenarios anchored to MT historical analysis (see Historical Data tab): Base = MT linear trend forward 5yr (+0.91 sacas/yr); ±1 SD = Down/Up; ±1.5 SD = Bear/Bull (SD ≈ 4.28 sacas, avg of MT and BR national). Operating assumptions are single-value (not scenario-dependent) and apply to projection years only; historicals reflect actual reported figures. Debt amortization schedule reflects management's stated plan per the 4Q25 release: 2025 EOP debt = R$47.5M current (matures within 12mo) + R$21.3M long-term. 2026 paydown of R$27M = ~R$47.5M current portion repaid net of ~R$20M new working-capital draw. 2027 paydown of R$21M = R$21.3M LT portion now matured. 2028+ = steady-state ~R$20M revolving WC debt. Each year's actual amortization is CAPPED at FCF: =MIN(scheduled, MAX(0, FCF)) — so weak scenarios pay down less.</t>
  </si>
  <si>
    <t>REVENUE DRIVERS — productivity-share framework</t>
  </si>
  <si>
    <t>Revenue = Hectares × Gross productivity (sacas/ha) × LAND3 take rate × R$/sc. Drivers pulled from Assumptions; FY-recognized lease revenue used by Model tab.</t>
  </si>
  <si>
    <t>2021/22</t>
  </si>
  <si>
    <t>2022/23</t>
  </si>
  <si>
    <t>2023/24</t>
  </si>
  <si>
    <t>2024/25</t>
  </si>
  <si>
    <t>2025/26</t>
  </si>
  <si>
    <t>2026/27</t>
  </si>
  <si>
    <t>2027/28</t>
  </si>
  <si>
    <t>2028/29</t>
  </si>
  <si>
    <t>2029/30</t>
  </si>
  <si>
    <t>2030/31</t>
  </si>
  <si>
    <t>Active case:</t>
  </si>
  <si>
    <t>1. PORTFOLIO COMPOSITION (post-2025 write-off)</t>
  </si>
  <si>
    <t>Total land bank (ha)</t>
  </si>
  <si>
    <t xml:space="preserve">    Leased to SLC Agricola (productive cropland)</t>
  </si>
  <si>
    <t xml:space="preserve">    Forest reserve / non-leased</t>
  </si>
  <si>
    <t>Phantom hectares written off (Aug '25)</t>
  </si>
  <si>
    <t>2. CONTRACT MECHANICS — SLC Agricola lease (through 2046)</t>
  </si>
  <si>
    <t>Tenant</t>
  </si>
  <si>
    <t>SLC Agricola S.A. (B3: SLCE3)</t>
  </si>
  <si>
    <t>Lease term end</t>
  </si>
  <si>
    <t>2046 (~21 yrs remaining)</t>
  </si>
  <si>
    <t>Pricing reset cadence</t>
  </si>
  <si>
    <t>Every 3 years (last May 2025; next 2028)</t>
  </si>
  <si>
    <t>What gets negotiated at reset</t>
  </si>
  <si>
    <t>Sacas/ha LAND3 receives</t>
  </si>
  <si>
    <t>Annual schedule (2026 contracted)</t>
  </si>
  <si>
    <t>R$ 91.4 million</t>
  </si>
  <si>
    <t>Total contract value (2026-2046)</t>
  </si>
  <si>
    <t>R$ 2,021.5 million</t>
  </si>
  <si>
    <t>3. PRODUCTIVITY-SHARE BUILD — by safra year (Sep-Aug)</t>
  </si>
  <si>
    <t>(a) SLC GROSS PRODUCTIVITY</t>
  </si>
  <si>
    <t xml:space="preserve">  Gross sacas/ha harvested by SLC</t>
  </si>
  <si>
    <t>(b) LAND3 CONTRACTED TAKE</t>
  </si>
  <si>
    <t xml:space="preserve">  Sacas/ha to LAND3 (contractual)</t>
  </si>
  <si>
    <t>(c) IMPLIED TAKE RATE</t>
  </si>
  <si>
    <t xml:space="preserve">  → LAND3 % of SLC harvest</t>
  </si>
  <si>
    <t>(d) HECTARES × VOLUME</t>
  </si>
  <si>
    <t xml:space="preserve">  Hectares leased ('000)</t>
  </si>
  <si>
    <t xml:space="preserve">  Total sacas to LAND3 ('000)</t>
  </si>
  <si>
    <t>(e) PRICE × BILLING</t>
  </si>
  <si>
    <t xml:space="preserve">  Gross soy price (R$/sc, contractual)</t>
  </si>
  <si>
    <t xml:space="preserve">  Gross safra billing (R$mm)</t>
  </si>
  <si>
    <t xml:space="preserve">      (−) Deductions (~3.5%)</t>
  </si>
  <si>
    <t xml:space="preserve">  Net safra revenue (R$mm)</t>
  </si>
  <si>
    <t>4. FISCAL YEAR RECOGNITION — 8/12 prior safra + 4/12 next safra → MODEL LINKS HERE</t>
  </si>
  <si>
    <t>Each FY = 8/12 of the safra harvested earlier in the year (Jan-Aug) + 4/12 of the next safra (Sep-Dec).</t>
  </si>
  <si>
    <t>Fiscal year</t>
  </si>
  <si>
    <t>2022A</t>
  </si>
  <si>
    <t>2023A</t>
  </si>
  <si>
    <t>2024A</t>
  </si>
  <si>
    <t>2025A</t>
  </si>
  <si>
    <t>2026E</t>
  </si>
  <si>
    <t>2027E</t>
  </si>
  <si>
    <t>2028E</t>
  </si>
  <si>
    <t>2029E</t>
  </si>
  <si>
    <t>2030E</t>
  </si>
  <si>
    <t xml:space="preserve">    8/12 of earlier safra (Jan-Aug)</t>
  </si>
  <si>
    <t xml:space="preserve">    4/12 of later safra (Sep-Dec)</t>
  </si>
  <si>
    <t>Net lease revenue (FY recognized) →</t>
  </si>
  <si>
    <t>Notes:</t>
  </si>
  <si>
    <t>• Productivity 2021/22-2024/25 = IMEA Mato Grosso state series.</t>
  </si>
  <si>
    <t>• Productivity 2025/26+ interpolates linearly from 67 base (SLC's 2025/26 budget) to 2030E target driver.</t>
  </si>
  <si>
    <t>• Soy price 2025/26 locked at R$108.85/sc (per 4T25 release); 2026/27+ interpolates to 2030E target.</t>
  </si>
  <si>
    <t>• Sacas/ha LAND3: 17.0 from spinoff through May 2025; 20.5 May 2025-Apr 2028; reset value Mar 2028 onward.</t>
  </si>
  <si>
    <t>• Net lease revenue (FY recognized) row above is the source for Model tab's lease revenue projections.</t>
  </si>
  <si>
    <t>MODEL — historicals + 5Y projections (lease revenue linked to Revenue Drivers)</t>
  </si>
  <si>
    <t>R$ millions</t>
  </si>
  <si>
    <t>CAPITAL STRUCTURE &amp; EV BRIDGE (latest, R$mm)</t>
  </si>
  <si>
    <t>Market cap</t>
  </si>
  <si>
    <t>(+) Total debt</t>
  </si>
  <si>
    <t>(−) Cash &amp; equivalents</t>
  </si>
  <si>
    <t>Enterprise value</t>
  </si>
  <si>
    <t>P / NAV</t>
  </si>
  <si>
    <t>INCOME STATEMENT</t>
  </si>
  <si>
    <t>Revenue drivers (info only — actual lease rev linked to RD)</t>
  </si>
  <si>
    <t xml:space="preserve">    Hectares leased ('000)</t>
  </si>
  <si>
    <t xml:space="preserve">    Sacas/ha (LAND3 contracted)</t>
  </si>
  <si>
    <t>Lease revenue (gross)</t>
  </si>
  <si>
    <t>Hedge accounting gain / (loss)</t>
  </si>
  <si>
    <t>Net revenue</t>
  </si>
  <si>
    <t xml:space="preserve">    YoY growth</t>
  </si>
  <si>
    <t>Cost of products sold</t>
  </si>
  <si>
    <t>Gross profit</t>
  </si>
  <si>
    <t>G&amp;A expenses</t>
  </si>
  <si>
    <t>Stock-based comp / bonus provision</t>
  </si>
  <si>
    <t>Other operating expense (recurring)</t>
  </si>
  <si>
    <t>Operating contingencies (non-recurring)</t>
  </si>
  <si>
    <t>Operating income</t>
  </si>
  <si>
    <t>D&amp;A</t>
  </si>
  <si>
    <t>EBITDA (reported)</t>
  </si>
  <si>
    <t xml:space="preserve">    (+) Add-back: contingencies (non-recurring)</t>
  </si>
  <si>
    <t xml:space="preserve">    (+) Add-back: other one-time items</t>
  </si>
  <si>
    <t>Adjusted EBITDA</t>
  </si>
  <si>
    <t xml:space="preserve">    Adj. EBITDA margin</t>
  </si>
  <si>
    <t>Financial result, net</t>
  </si>
  <si>
    <t>Pre-tax income</t>
  </si>
  <si>
    <t>Income tax</t>
  </si>
  <si>
    <t>Net income</t>
  </si>
  <si>
    <t>Diluted EPS (R$)</t>
  </si>
  <si>
    <t>BALANCE SHEET</t>
  </si>
  <si>
    <t>Cash &amp; equivalents</t>
  </si>
  <si>
    <t>Total debt</t>
  </si>
  <si>
    <t>Net debt</t>
  </si>
  <si>
    <t xml:space="preserve">    ND / Adj. EBITDA</t>
  </si>
  <si>
    <t>Total equity (book)</t>
  </si>
  <si>
    <t xml:space="preserve">    Invested capital (Equity + Net Debt)</t>
  </si>
  <si>
    <t>Leased cropland (R$mm)</t>
  </si>
  <si>
    <t>Non-leased land / forest reserve (R$mm)</t>
  </si>
  <si>
    <t>Land + improvements (S&amp;P appraisal)</t>
  </si>
  <si>
    <t>Implied NAV (Land - Net Debt)</t>
  </si>
  <si>
    <t xml:space="preserve">    NAV per share (R$)</t>
  </si>
  <si>
    <t>CASH FLOW</t>
  </si>
  <si>
    <t xml:space="preserve">    Net income</t>
  </si>
  <si>
    <t xml:space="preserve">    (+) D&amp;A</t>
  </si>
  <si>
    <t xml:space="preserve">    (±) Working capital change</t>
  </si>
  <si>
    <t>Cash from operations (CFO)</t>
  </si>
  <si>
    <t>Capex</t>
  </si>
  <si>
    <t>Free cash flow (pre-financing)</t>
  </si>
  <si>
    <t>Debt repayment / (issuance)</t>
  </si>
  <si>
    <t>Net cash flow to equity</t>
  </si>
  <si>
    <t>RETURNS — ROIC &amp; ROE</t>
  </si>
  <si>
    <t>NOPAT (Op Inc × (1 − tax))</t>
  </si>
  <si>
    <t xml:space="preserve">    NOPAT (adjusted, ex-contingencies)</t>
  </si>
  <si>
    <t>Avg invested capital (book)</t>
  </si>
  <si>
    <t>ROIC (book) — NOPAT / Avg IC</t>
  </si>
  <si>
    <t xml:space="preserve">    ROIC (adjusted, ex-contingencies)</t>
  </si>
  <si>
    <t>Avg book equity</t>
  </si>
  <si>
    <t>ROE — Net income / Avg equity</t>
  </si>
  <si>
    <t xml:space="preserve">    ROE (adjusted, ex-contingencies)</t>
  </si>
  <si>
    <t>Note: ROIC/ROE use BOOK invested capital and BOOK equity. LAND3 carries land at historical cost (~R$596M equity) while appraisal value is R$2,796M, so book returns are not directly comparable to a NAV-based valuation. Adjusted figures back out one-time contingencies (R$60.4M in 2025 plus smaller historical add-backs) for an operating-yield view. The 2025 reported ROE of ~1% reflects suppressed earnings; adjusted run-rate ROE ~9% on book is the more representative steady-state figure. Cap rate on appraisal value (~2.4%) shown separately on Valuation tab.</t>
  </si>
  <si>
    <t>VALUATION — primary methods</t>
  </si>
  <si>
    <t>METHOD A — P / NAV (primary)</t>
  </si>
  <si>
    <t>Current price (R$)</t>
  </si>
  <si>
    <t>Year 3 NAV / share (R$)</t>
  </si>
  <si>
    <t>Target P / NAV</t>
  </si>
  <si>
    <t>Y3 target price (undisc., R$)</t>
  </si>
  <si>
    <t>Discount rate (WACC)</t>
  </si>
  <si>
    <t>Discount periods</t>
  </si>
  <si>
    <t>PV factor</t>
  </si>
  <si>
    <t>PV of target price (R$)</t>
  </si>
  <si>
    <t>Implied upside</t>
  </si>
  <si>
    <t>Implied 3yr IRR</t>
  </si>
  <si>
    <t>DCF CROSS-CHECK + 50/50 BLEND</t>
  </si>
  <si>
    <t>DCF NAV / share (R$)</t>
  </si>
  <si>
    <t>Linked from NAV Analysis tab — Method 3 output (PV today)</t>
  </si>
  <si>
    <t>P/NAV target (R$, PV)</t>
  </si>
  <si>
    <t>From P/NAV method — Y3 NAV/sh × P/NAV target, discounted to PV</t>
  </si>
  <si>
    <t>50/50 weighted target PV (R$)</t>
  </si>
  <si>
    <t>Equal-weighted average of DCF and P/NAV methods</t>
  </si>
  <si>
    <t>Upside vs current price</t>
  </si>
  <si>
    <t>Implied 3yr IRR (vs current)</t>
  </si>
  <si>
    <t>Interpretation:</t>
  </si>
  <si>
    <t>Two methods triangulate the target. P/NAV applies the appraisal-anchored NAV with a market discount (lower than current). DCF prices only the income stream + terminal land sale at chosen discount rate — typically more conservative because it ignores intermediate monetization optionality. Equal-weighted average balances the two views: the appraisal anchor (with discount narrowing as catalyst) and the cash-flow DCF (which assumes the lease + terminal sale is all you get). When DCF target ≈ P/NAV target, the methods agree. When they diverge, the gap reflects the embedded value of being able to monetize at appraisal vs only via the contractual income stream.</t>
  </si>
  <si>
    <t>NAV ANALYSIS — three-method triangulation</t>
  </si>
  <si>
    <t>Three approaches to LAND3 NAV: (1) appraisal (S&amp;P income-based, the model default); (2) comparable land values (MT premium cropland sales comps × hectares — what would liquidation realize); (3) DCF (PV of 21-year lease income stream + terminal land sale at 2046). Each method tests a different assumption about how value crystallizes.</t>
  </si>
  <si>
    <t>METHOD 1 — APPRAISAL-BASED NAV (S&amp;P Global laudo, the model default)</t>
  </si>
  <si>
    <t>2025A appraised land value (R$mm)</t>
  </si>
  <si>
    <t>2025A net debt (R$mm)</t>
  </si>
  <si>
    <t>Appraisal NAV (R$mm)</t>
  </si>
  <si>
    <t>Appraisal NAV / share (R$)</t>
  </si>
  <si>
    <t>Note: S&amp;P methodology is income-based — appraisal moves with soybean prices, not just market sales comps.</t>
  </si>
  <si>
    <t>METHOD 2 — COMPARABLE LAND VALUES (liquidation NAV at MT market R$/ha)</t>
  </si>
  <si>
    <t>Productive cropland (hectares, k)</t>
  </si>
  <si>
    <t xml:space="preserve">  × MT premium cropland comp (R$/ha)</t>
  </si>
  <si>
    <t xml:space="preserve">  = Productive cropland comp value (R$mm)</t>
  </si>
  <si>
    <t>Non-leased reserve (hectares, k)</t>
  </si>
  <si>
    <t xml:space="preserve">  × MT pasture/reserve comp (R$/ha)</t>
  </si>
  <si>
    <t xml:space="preserve">  = Reserve comp value (R$mm)</t>
  </si>
  <si>
    <t>Total gross land value @ comps (R$mm)</t>
  </si>
  <si>
    <t xml:space="preserve">  vs appraisal — premium / (discount)</t>
  </si>
  <si>
    <t xml:space="preserve">  Less: sale tax (lucro presumido)</t>
  </si>
  <si>
    <t xml:space="preserve">  Less: net debt</t>
  </si>
  <si>
    <t>Comp-based liquidation NAV (R$mm)</t>
  </si>
  <si>
    <t>Comp-based NAV / share (R$)</t>
  </si>
  <si>
    <t>Note: applies BR sale tax (12.45% lucro presumido) on gross sale price — conservative; actual effective rate could be lower depending on book basis.</t>
  </si>
  <si>
    <t>METHOD 3 — DCF (21-year lease income stream + 2046 terminal land sale)</t>
  </si>
  <si>
    <t>DCF discount rate</t>
  </si>
  <si>
    <t>Terminal year</t>
  </si>
  <si>
    <t>LT cropland CAGR / LT reserve CAGR</t>
  </si>
  <si>
    <t>Year</t>
  </si>
  <si>
    <t xml:space="preserve">  Period (year #)</t>
  </si>
  <si>
    <t>Adj. EBITDA (R$mm)</t>
  </si>
  <si>
    <t>Less: tax @ effective rate</t>
  </si>
  <si>
    <t>Less: capex</t>
  </si>
  <si>
    <t>FCF (R$mm)</t>
  </si>
  <si>
    <t>Discount factor</t>
  </si>
  <si>
    <t>PV of FCF (R$mm)</t>
  </si>
  <si>
    <t>TERMINAL VALUE (2046) — land sale at LT-grown comp values</t>
  </si>
  <si>
    <t xml:space="preserve">  2046 cropland value (R$mm)</t>
  </si>
  <si>
    <t xml:space="preserve">  2046 reserve value (R$mm)</t>
  </si>
  <si>
    <t xml:space="preserve">  Total 2046 land value (R$mm)</t>
  </si>
  <si>
    <t xml:space="preserve">  After-tax terminal proceeds (R$mm)</t>
  </si>
  <si>
    <t xml:space="preserve">  PV of terminal (discounted 21 years)</t>
  </si>
  <si>
    <t>Sum of FCF PVs (21 years)</t>
  </si>
  <si>
    <t>Plus: PV of terminal</t>
  </si>
  <si>
    <t>Total enterprise PV (R$mm)</t>
  </si>
  <si>
    <t>Less: 2025A net debt</t>
  </si>
  <si>
    <t>DCF equity value (R$mm)</t>
  </si>
  <si>
    <t>IMPLIED HURDLE RATE (vs current market price)</t>
  </si>
  <si>
    <t>Current price (R$/share)</t>
  </si>
  <si>
    <t>Current market cap (R$mm)</t>
  </si>
  <si>
    <t>CF stream for IRR</t>
  </si>
  <si>
    <t xml:space="preserve">  CF (R$mm)</t>
  </si>
  <si>
    <t>Implied hurdle rate (IRR)</t>
  </si>
  <si>
    <t xml:space="preserve">  vs DCF discount rate (active case)</t>
  </si>
  <si>
    <t>Reading: implied hurdle rate is the IRR earned by buying at today's price and receiving the projected 21-year cash flow + 2046 terminal sale. If implied hurdle &gt; DCF discount rate, the market is pricing in a higher required return than the active scenario assumes — i.e., the equity is cheap relative to the DCF view. If implied hurdle &lt; discount rate, the market is willing to accept lower returns — equity is rich. LAND3's deep NAV discount typically produces an implied hurdle WELL ABOVE the DCF discount rate.</t>
  </si>
  <si>
    <t>THREE-METHOD SUMMARY</t>
  </si>
  <si>
    <t>Method</t>
  </si>
  <si>
    <t>NAV (R$mm)</t>
  </si>
  <si>
    <t>vs Price</t>
  </si>
  <si>
    <t>vs Appraisal NAV</t>
  </si>
  <si>
    <t>Method 1 — Appraisal (S&amp;P income-based)</t>
  </si>
  <si>
    <t>Method 2 — Comp values (liquidation, post-tax)</t>
  </si>
  <si>
    <t>Method 3 — DCF (income + terminal land)</t>
  </si>
  <si>
    <t>Reading the three methods: they answer different questions. Method 1 (appraisal) is what S&amp;P's income-based laudo says today — what the lease income stream supports. Method 2 (comp values) is what selling the land at MT market R$/ha would yield, less tax — the floor under the franchise. Method 3 (DCF) is what the 21-year lease income + terminal land sale is worth today at chosen discount rate. When DCF NAV is materially below appraisal NAV, it suggests the appraisal embeds optimistic assumptions about either lease economics or terminal value. When comp NAV is HIGHER than appraisal NAV, it suggests the lease is sub-market vs the underlying land's standalone value — exactly the LAND3 setup.</t>
  </si>
  <si>
    <t>SENSITIVITIES</t>
  </si>
  <si>
    <t>Active case target (P/NAV, R$)</t>
  </si>
  <si>
    <t>TWO-WAY: Y3 NAV/sh × P/NAV → target price (R$)</t>
  </si>
  <si>
    <t>Y3 NAV ↓ \ P/NAV →</t>
  </si>
  <si>
    <t>TWO-WAY: Y3 NAV/sh × Disc-to-NAV → Y3 market-implied cap rate</t>
  </si>
  <si>
    <t>Cell = Y3 Adj.EBITDA / (NAV/sh × (1+disc) × shares). Active-case Y3 EBITDA used. Highlights show where market cap rate ≈ BR farmland reference 5% (the 'fair yield' zone). LAND3 currently at -69% disc, NAV R$28.5 → ~8% market cap rate.</t>
  </si>
  <si>
    <t>Y3 NAV ↓ \ Disc to NAV →</t>
  </si>
  <si>
    <t>TWO-WAY: WACC × LT EBITDA CAGR → DCF NAV/sh (R$)</t>
  </si>
  <si>
    <t>Cell = DCF NAV/share at given WACC and LT EBITDA CAGR. Years 1-5 FCFs from NAV Analysis (active scenario). Years 6-21 grow Y5 FCF at the CAGR. Terminal land at active LT crop/reserve CAGR (held constant). Shows DCF leverage to two key drivers.</t>
  </si>
  <si>
    <t>WACC ↓ \ LT EBITDA CAGR →</t>
  </si>
  <si>
    <t>SCENARIO SUMMARY</t>
  </si>
  <si>
    <t>Each column re-computes valuation from that scenario's drivers. Probabilities at top are user-editable.</t>
  </si>
  <si>
    <t>Prob-
weighted</t>
  </si>
  <si>
    <t>SCENARIO DRIVERS</t>
  </si>
  <si>
    <t>SLC productivity 2030E (sacas/ha)</t>
  </si>
  <si>
    <t>Annual G&amp;A growth</t>
  </si>
  <si>
    <t>Opex 'Other' recurring (R$mm)</t>
  </si>
  <si>
    <t>Exit P / NAV</t>
  </si>
  <si>
    <t>INTERMEDIATE CALCS (Year 3 = 2028E)</t>
  </si>
  <si>
    <t>2028E soy price (interp., R$/sc)</t>
  </si>
  <si>
    <t>2028E SLC productivity (interp.)</t>
  </si>
  <si>
    <t>2028E LAND3 take rate</t>
  </si>
  <si>
    <t>2028E net lease revenue (R$mm)</t>
  </si>
  <si>
    <t>2028E total net revenue (R$mm)</t>
  </si>
  <si>
    <t>2028E G&amp;A (R$mm)</t>
  </si>
  <si>
    <t>2028E Adj. EBITDA (R$mm)</t>
  </si>
  <si>
    <t>2028E land value (R$mm)</t>
  </si>
  <si>
    <t>2028E net debt (R$mm)</t>
  </si>
  <si>
    <t>2028E NAV / share (R$)</t>
  </si>
  <si>
    <t>2025 entry cap rate (Adj.EBITDA / Land Value)</t>
  </si>
  <si>
    <t>2028E exit cap rate (Adj.EBITDA / Land Value)</t>
  </si>
  <si>
    <t>DCF OUTPUT — per scenario, using each case's drivers</t>
  </si>
  <si>
    <t>Y3 FCF proxy (R$mm) = EBITDA×(1-tax)+capex</t>
  </si>
  <si>
    <t>DCF upside vs current price</t>
  </si>
  <si>
    <t>Implied 21yr return (DCF basis)</t>
  </si>
  <si>
    <t>Implied yields (Y3 EBITDA × Y3 FCFE / market cap)</t>
  </si>
  <si>
    <t>Implied market cap rate (at DCF NAV/share)</t>
  </si>
  <si>
    <t>Dividend yield at CURRENT price (R$8.71)</t>
  </si>
  <si>
    <t>Dividend yield at DCF NAV/share (target)</t>
  </si>
  <si>
    <t>DCF method uses each scenario's DCF discount rate, LT EBITDA CAGR, and LT cropland CAGR (from scenario drivers), with LT reserve CAGR + sale tax + capex held at active values. FCF approximated as flat at Y3 level for years 1-5, growing at LT CAGR for years 6-21, plus 2046 terminal land sale (after sale tax). Active-case DCF here may differ slightly from NAV Analysis tab (which uses Model FCFs directly for years 1-5). Dividend yield assumes 100% FCFE payout (= FCFE / equity value); shares projected forward at LT dilution rate.</t>
  </si>
  <si>
    <t>VALUATION OUTPUTS</t>
  </si>
  <si>
    <t>TARGET PV (R$)  [P/NAV method]</t>
  </si>
  <si>
    <t>Target Y3 (undisc., R$)</t>
  </si>
  <si>
    <t>3yr IRR (vs current price)</t>
  </si>
  <si>
    <t>PROBABILITY-WEIGHTED EXPECTED VALUE</t>
  </si>
  <si>
    <t>Expected target price (PV, R$)</t>
  </si>
  <si>
    <t>Expected upside vs current</t>
  </si>
  <si>
    <t>Probability-weighted 3yr IRR</t>
  </si>
  <si>
    <t>SOYBEAN YIELD HISTORY — Mato Grosso productivity series</t>
  </si>
  <si>
    <t>Drought yr</t>
  </si>
  <si>
    <t>Record yr</t>
  </si>
  <si>
    <t>IMEA Mato Grosso state series 2013/14+ with Brazil national, SLC company, and US national benchmarks. LAND3's land in Tabaporã and Nova Mutum, central-northern MT.</t>
  </si>
  <si>
    <t>2013/14</t>
  </si>
  <si>
    <t>2014/15</t>
  </si>
  <si>
    <t>2015/16</t>
  </si>
  <si>
    <t>2016/17</t>
  </si>
  <si>
    <t>2017/18</t>
  </si>
  <si>
    <t>2018/19</t>
  </si>
  <si>
    <t>2019/20</t>
  </si>
  <si>
    <t>2020/21</t>
  </si>
  <si>
    <t>2025/26F</t>
  </si>
  <si>
    <t>1. MATO GROSSO STATE — soybean yield (IMEA series)</t>
  </si>
  <si>
    <t>MT — sacas/ha (IMEA)</t>
  </si>
  <si>
    <t xml:space="preserve">    → kg/ha (×60)</t>
  </si>
  <si>
    <t xml:space="preserve">    YoY change</t>
  </si>
  <si>
    <t>—</t>
  </si>
  <si>
    <t xml:space="preserve">    Index (2013/14 = 100)</t>
  </si>
  <si>
    <t xml:space="preserve">    Linear trend (regression)</t>
  </si>
  <si>
    <t xml:space="preserve">    Detrended deviation (sacas vs trend)</t>
  </si>
  <si>
    <t>2. COMPARISON BENCHMARKS</t>
  </si>
  <si>
    <t>Brazil national avg — sacas/ha</t>
  </si>
  <si>
    <t xml:space="preserve">    MT premium vs BR national</t>
  </si>
  <si>
    <t>SLC Agricola company-wide</t>
  </si>
  <si>
    <t>n/a</t>
  </si>
  <si>
    <t xml:space="preserve">    SLC vs MT state avg (sacas)</t>
  </si>
  <si>
    <t>US national avg — sacas/ha equiv.</t>
  </si>
  <si>
    <t xml:space="preserve">    MT premium vs US (sacas)</t>
  </si>
  <si>
    <t>3. LAND3 ECONOMIC LAYER — overlay on MT productivity</t>
  </si>
  <si>
    <t>LAND3 contracted sacas/ha</t>
  </si>
  <si>
    <t xml:space="preserve">    Implied take rate vs MT productivity</t>
  </si>
  <si>
    <t>4. SUMMARY STATISTICS — Mato Grosso productivity</t>
  </si>
  <si>
    <t>Mean (2013/14 - 2024/25)</t>
  </si>
  <si>
    <t>Pre-forecast period</t>
  </si>
  <si>
    <t>Median</t>
  </si>
  <si>
    <t>Standard deviation</t>
  </si>
  <si>
    <t>12-year sample</t>
  </si>
  <si>
    <t>Min (drought year)</t>
  </si>
  <si>
    <t>2015/16 = 49.78</t>
  </si>
  <si>
    <t>Max (record year)</t>
  </si>
  <si>
    <t>2024/25 = 64.95</t>
  </si>
  <si>
    <t>CAGR 2013/14 → 2024/25</t>
  </si>
  <si>
    <t>11-year compound rate</t>
  </si>
  <si>
    <t>Linear trend slope (sacas/yr)</t>
  </si>
  <si>
    <t>Implied 2030 trend yield</t>
  </si>
  <si>
    <t>Year 17 (2029/30)</t>
  </si>
  <si>
    <t>Avg of MT + BR national SD</t>
  </si>
  <si>
    <t>Used for scenario spread (±1 SD, ±1.5 SD)</t>
  </si>
  <si>
    <t>5. FORWARD IMPLICATIONS — scenario assumptions vs trend</t>
  </si>
  <si>
    <t>Scenario</t>
  </si>
  <si>
    <t>2030E productivity</t>
  </si>
  <si>
    <t>vs base 72</t>
  </si>
  <si>
    <t>SD-spread</t>
  </si>
  <si>
    <t>Historical comparable</t>
  </si>
  <si>
    <t>−1.5 SD</t>
  </si>
  <si>
    <t>Drought-equivalent (similar to 2015/16 = 49.78 vs trend)</t>
  </si>
  <si>
    <t>−1.0 SD</t>
  </si>
  <si>
    <t>Below-trend year (2018/19 = 56.04)</t>
  </si>
  <si>
    <t>Trend</t>
  </si>
  <si>
    <t>MT linear-trend forward (current 67 + 5 × 0.91 sacas/yr)</t>
  </si>
  <si>
    <t>+1.0 SD</t>
  </si>
  <si>
    <t>Above-trend year (2024/25 = 64.95 was +1.9 SD)</t>
  </si>
  <si>
    <t>+1.5 SD</t>
  </si>
  <si>
    <t>Non-irrigated catches up to SLC's irrigated benchmark of 73.6</t>
  </si>
  <si>
    <t>Notes &amp; sources:</t>
  </si>
  <si>
    <t>• MT yield series: Instituto Mato-grossense de Economia Agropecuária (IMEA) annual estimates; cross-referenced via Canal Rural / SNA / soybeansandcorn.com.</t>
  </si>
  <si>
    <t>• 2013/14 = 51.93, 2014/15 = 52.90, 2015/16 = 49.78 (drought low), 2016/17-2021/22 sequence rising 55-59 range, 2022/23 = 62.30 (prior record), 2023/24 = 53.59 (drought), 2024/25 = 64.95 (state record), 2025/26F = 66.18.</t>
  </si>
  <si>
    <t>• Brazil national: CONAB historical series + Embrapa Soja (Jul 2025) for 2025/26F.</t>
  </si>
  <si>
    <t>• SLC company-wide: Annual Reports &amp; quarterly releases. SLC's 2025/26 budget of 4,036 kg/ha = 67.3 sacas/ha drives the Base case productivity assumption.</t>
  </si>
  <si>
    <t>• US national: USDA NASS bushels/acre × 67.25 ÷ 60 = sacas/ha equivalent.</t>
  </si>
  <si>
    <t>• Trend yield growth in MT is +0.91 sacas/ha/yr (2.05% CAGR over 11-year window), close to academic estimates of genetics-driven gains (~2.1%/yr).</t>
  </si>
  <si>
    <t>• The take rate column makes the 2025 reset effect visible: pre-reset 27% of harvest; post-reset 32%. Structurally a +5pp improvement on the negotiable parameter.</t>
  </si>
  <si>
    <t>• Drought years (red): 2015/16 (-13% vs trend), 2023/24 (-8%). Record years (green): 2022/23, 2024/25, 2025/26F.</t>
  </si>
  <si>
    <t>LAND VALUE HISTORY — LAND3 portfolio + market benchmarks</t>
  </si>
  <si>
    <t>Estimate</t>
  </si>
  <si>
    <t>Disclosed</t>
  </si>
  <si>
    <t>LAND3 disclosed land values 2021+, SLC Agricola NAV/share proxy 2015+, external benchmarks (IBGE, IHS Markit, S&amp;P Global), and pasture/reserve component analysis. Productive cropland and non-leased reserve appreciate at materially different rates.</t>
  </si>
  <si>
    <t>1. LAND VALUE HISTORY — LAND3 portfolio vs market benchmarks</t>
  </si>
  <si>
    <t>LAND3 disclosed values 2021+ (Terra Santa Propriedades, post-spinoff). Pre-spinoff: SLC Agricola NAV/share is the best public proxy for similar BR cropland.</t>
  </si>
  <si>
    <t>(a) LAND3 PORTFOLIO — disclosed appraisal</t>
  </si>
  <si>
    <t>Total appraisal (R$mm)</t>
  </si>
  <si>
    <t>Hectares ('000)</t>
  </si>
  <si>
    <t xml:space="preserve">    R$/ha</t>
  </si>
  <si>
    <t>(b) SLC AGRICOLA NAV (proxy for BR cropland appreciation)</t>
  </si>
  <si>
    <t>SLC NAV / share (R$, Deloitte appraisal)</t>
  </si>
  <si>
    <t xml:space="preserve">    Index (2015 = 100)</t>
  </si>
  <si>
    <t>(c) SLC LAND PORTFOLIO — Deloitte R$/ha (disclosed)</t>
  </si>
  <si>
    <t>SLC weighted avg R$/ha</t>
  </si>
  <si>
    <t>(d) EXTERNAL BENCHMARKS — IBGE / IHS Markit</t>
  </si>
  <si>
    <t>IBGE — Brazil avg R$/ha (census)</t>
  </si>
  <si>
    <t>IBGE — MT state avg R$/ha (census)</t>
  </si>
  <si>
    <t>IHS Markit — BR cropland avg R$/ha</t>
  </si>
  <si>
    <t>(e) LAND VALUE APPRECIATION RATES</t>
  </si>
  <si>
    <t>SLC NAV/share CAGR 2015 → 2025</t>
  </si>
  <si>
    <t>7.84%</t>
  </si>
  <si>
    <t>10-yr nominal compound rate</t>
  </si>
  <si>
    <t>Per CEO Pavinato (June 2025)</t>
  </si>
  <si>
    <t>~6% real</t>
  </si>
  <si>
    <t>20-yr real appreciation, BR farmland broad market</t>
  </si>
  <si>
    <t>LAND3 R$/ha 2025</t>
  </si>
  <si>
    <t>34,863</t>
  </si>
  <si>
    <t>post 4,570 ha write-off Aug 2025</t>
  </si>
  <si>
    <t>LAND3 implied premium vs SLC avg</t>
  </si>
  <si>
    <t>108%</t>
  </si>
  <si>
    <t>vs SLC's R$16,750/ha portfolio avg (Q3'25)</t>
  </si>
  <si>
    <t>LAND3 vs IBGE 2020 MT avg</t>
  </si>
  <si>
    <t>1.5x</t>
  </si>
  <si>
    <t>indexed to MT average cropland (incl. pasture)</t>
  </si>
  <si>
    <t>2. NON-LEASED LAND COMPS — pasture, reserve, and cropland-vs-pasture ratios</t>
  </si>
  <si>
    <t>LAND3's ~41,101 ha non-leased land is primarily Cerrado biome legal reserve (mandatory 35% reservation) with possibly some pasture. Pasture and reserve land appreciate at materially different rates than productive cropland.</t>
  </si>
  <si>
    <t>(a) BRAZIL NATIONAL — pastureland R$/ha (S&amp;P / Scot)</t>
  </si>
  <si>
    <t>BR pastureland avg R$/ha</t>
  </si>
  <si>
    <t>(b) BRAZIL NATIONAL — cropland R$/ha (S&amp;P / Scot, for ratio)</t>
  </si>
  <si>
    <t>BR cropland avg R$/ha</t>
  </si>
  <si>
    <t xml:space="preserve">    Cropland / Pasture ratio</t>
  </si>
  <si>
    <t xml:space="preserve">    YoY change (cropland)</t>
  </si>
  <si>
    <t>(c) MATO GROSSO SPECIFIC — cropland &amp; pasture R$/ha</t>
  </si>
  <si>
    <t>MT cropland (Sorriso/Nova Mutum proxy)</t>
  </si>
  <si>
    <t>MT pasture</t>
  </si>
  <si>
    <t xml:space="preserve">    MT premium cropland / pasture ratio</t>
  </si>
  <si>
    <t>(d) FOREST RESERVE / PROTECTED LAND — sparse data</t>
  </si>
  <si>
    <t>MT reserve estimate (≈50% of pasture)</t>
  </si>
  <si>
    <t xml:space="preserve">    Reserve / cropland ratio (MT)</t>
  </si>
  <si>
    <t>(e) LAND3 IMPLIED COMPONENT SPLIT</t>
  </si>
  <si>
    <t>Productive cropland (39,099 ha @ R$60k/ha)</t>
  </si>
  <si>
    <t>84% of disclosed value</t>
  </si>
  <si>
    <t>Non-leased land (41,101 ha @ R$11k/ha)</t>
  </si>
  <si>
    <t>16% of disclosed value</t>
  </si>
  <si>
    <t>→ Total (matches disclosed R$2,796M)</t>
  </si>
  <si>
    <t>Reconciles to ±0.1%</t>
  </si>
  <si>
    <t>(f) 7-YEAR APPRECIATION RATES (2018 → 2025, nominal R$)</t>
  </si>
  <si>
    <t>BR cropland</t>
  </si>
  <si>
    <t>BR pastureland</t>
  </si>
  <si>
    <t>MT cropland</t>
  </si>
  <si>
    <t>Highest appreciation in MT growth corridor</t>
  </si>
  <si>
    <t>MT reserve est.</t>
  </si>
  <si>
    <t>Tracks pasture but ~50% lower in absolute</t>
  </si>
  <si>
    <t>• LAND3 disclosed land values from annual filings (DFP); 2021 estimated (immediate post-spinoff). Pre-spinoff land holdings were part of Terra Santa Agro (TESA3) but not separately disclosed at the LAND3 subset level.</t>
  </si>
  <si>
    <t>• SLC NAV/share: 2018 from Chain Reaction Research (Oct 2018, citing Deloitte's R$10,275/ha NAV). 2024 R$28.50 and Q2'25 R$31.90 from SLC IR. Other years are estimates triangulating from CEO statements (~6%/yr real over 20 years from R$10 IPO).</t>
  </si>
  <si>
    <t>• SLC blended R$/ha (Deloitte): 2015 from Genesis Investimentos article, 2017 YE from Chain Reaction Research, 2018 from same, 2025 Q3 from theagribiz.com.</t>
  </si>
  <si>
    <t>• IBGE: 2017 Census of Agriculture (released 2020). IHS Markit: Brazilian Farmland Market reports (Edition 103, Nov 2021).</t>
  </si>
  <si>
    <t>• LAND3 R$35k/ha vs SLC's R$16.7k/ha portfolio avg = 2x premium. Reflects: (a) 100% MT/Center-West cropland (no marginal Bahia/Piauí), (b) all leased/cash-yielding (vs SLC's mix), (c) post-write-off productive area concentrated.</t>
  </si>
  <si>
    <t>• The 2022→2024 LAND3 valuation decline (-24%) ran counter to the broader BR farmland index (which rose). Likely drivers: (i) recategorization of forest reserves from productive land, (ii) appraisal methodology shifts under independent ownership, (iii) writedown of phantom hectares.</t>
  </si>
  <si>
    <t>• BR pastureland R$/ha series: IHS Markit Brazilian Farmland Market reports (2021 R$10,672 disclosed, 2020 back-calc from +17.6% YoY); Scot Consultoria (2023 R$17,390); 2018-2019 and 2024-2025 are extrapolated estimates.</t>
  </si>
  <si>
    <t>• BR cropland R$/ha series: S&amp;P Global Commodity Insights ('Análise do mercado de terras', 2023 record R$55,020); IHS Markit (2021 R$28,470 grain-cropland avg); 2018-2020 backward extrapolation.</t>
  </si>
  <si>
    <t>• MT-specific data: IHS Markit by municipality (Sorriso 2020-2021: R$25,500→R$31,000; Lucas do Rio Verde 2020-2021: R$26,500→R$51,717; Sinop 2020-2021: R$17,500→R$43,500). Series above is approximation across Sorriso/Nova Mutum/Sinop range.</t>
  </si>
  <si>
    <t>• Reserve/protected land prices: Sparse direct data; estimated via historical 50% ratio to pasture (Kory Melby BR consultant: 150 sacas/ha for pasture vs 75 for reserve historically).</t>
  </si>
  <si>
    <t>• Cropland-vs-pasture ratio expanded from 2.1x (2018) to 3.5x (2022 peak) before contracting. Reflects the commodity-driven boom that disproportionately benefited productive agricultural land over alternative rural uses.</t>
  </si>
  <si>
    <t>• Pasture and reserve land have potential carbon credit revenue (REDD+, Brazilian voluntary market). At even US$5/tCO₂e × 5 tCO₂/ha/yr × 41,101 ha ≈ US$1M/yr, implying R$5-15M of incremental income on top of current land carrying value. Not modeled in current scenarios (would be a separate optionality bucket).</t>
  </si>
  <si>
    <t>• Brazilian Forest Code mandates 35% legal reserve in Cerrado biome. LAND3's ~41k ha non-leased likely includes significant reserve area that cannot be cleared, plus possibly some marginal pasture/idle areas.</t>
  </si>
  <si>
    <t>LATIN AMERICA AG LAND HOLDERS — USD NAV/share + Discount-to-NAV over time</t>
  </si>
  <si>
    <t>A. USD NAV per share by year</t>
  </si>
  <si>
    <t>Ticker - Company</t>
  </si>
  <si>
    <t>SLCE3 - SLC Agricola</t>
  </si>
  <si>
    <t>LND - BrasilAgro (ADR)</t>
  </si>
  <si>
    <t>LAND3 - Terra Santa Propriedades</t>
  </si>
  <si>
    <t>AGRO - Adecoagro</t>
  </si>
  <si>
    <t>5yr USD NAV CAGR (2020-2025)</t>
  </si>
  <si>
    <t xml:space="preserve">  SLCE3 - SLC Agricola</t>
  </si>
  <si>
    <t xml:space="preserve">  LND - BrasilAgro (ADR)</t>
  </si>
  <si>
    <t xml:space="preserve">  LAND3 - Terra Santa Propriedades</t>
  </si>
  <si>
    <t xml:space="preserve">  AGRO - Adecoagro</t>
  </si>
  <si>
    <t>B. Discount to NAV by year (negative = trades below NAV)</t>
  </si>
  <si>
    <t>Reading the panels:</t>
  </si>
  <si>
    <t>- USD NAV growth divergence: SLCE3 +19% CAGR (2020-25) vs LAND3 ~+1%. Same regional macro, very different trajectories. SLCE3 captures productivity premium and growth via acquisitions; LAND3 holds static portfolio under sub-market lease.</t>
  </si>
  <si>
    <t>- Discount divergence: LAND3 has gone from ~-30% in 2021 (post-IPO honeymoon) to ~-69% today. Other LatAm names trade at -23% to -45%. LAND3 is the deepest in its peer group.</t>
  </si>
  <si>
    <t>- Combined read: LAND3's flat NAV + widening discount means equity has compounded NEGATIVELY in USD while peers have grown 14-19% CAGR. The structural setup (sub-market lease, related-party governance) explains both.</t>
  </si>
  <si>
    <t>AG LAND COMPS — global comparable universe</t>
  </si>
  <si>
    <t>Subject</t>
  </si>
  <si>
    <t>Discount</t>
  </si>
  <si>
    <t>Premium</t>
  </si>
  <si>
    <t>Operator*</t>
  </si>
  <si>
    <t>1. COMP UNIVERSE — full ag land peer set + cap rates + 5yr NAV growth</t>
  </si>
  <si>
    <t>Ticker</t>
  </si>
  <si>
    <t>Company</t>
  </si>
  <si>
    <t>Country</t>
  </si>
  <si>
    <t>Asset type</t>
  </si>
  <si>
    <t>Local Px</t>
  </si>
  <si>
    <t>Prod ha
(k)</t>
  </si>
  <si>
    <t>Total ha
(k)</t>
  </si>
  <si>
    <t>USD /
prod ha</t>
  </si>
  <si>
    <t>USD Mkt
Cap (M)</t>
  </si>
  <si>
    <t>USD Appraisal
(M)</t>
  </si>
  <si>
    <t>USD MTM
NAV (M)</t>
  </si>
  <si>
    <t>P/TBV</t>
  </si>
  <si>
    <t>P/NAV</t>
  </si>
  <si>
    <t>Disc to
NAV</t>
  </si>
  <si>
    <t>USD
EBITDA (M)</t>
  </si>
  <si>
    <t>Asset
Cap Rate</t>
  </si>
  <si>
    <t>Market
Cap Rate</t>
  </si>
  <si>
    <t>5yr NAV
CAGR (USD)</t>
  </si>
  <si>
    <t>SUBJECT</t>
  </si>
  <si>
    <t>LAND3</t>
  </si>
  <si>
    <t>Terra Santa Propriedades Agrícolas</t>
  </si>
  <si>
    <t>Brazil</t>
  </si>
  <si>
    <t>Pure land lessor (REIT-like)</t>
  </si>
  <si>
    <t>LATIN AMERICA — ag land holders</t>
  </si>
  <si>
    <t>SLCE3</t>
  </si>
  <si>
    <t>SLC Agrícola</t>
  </si>
  <si>
    <t>Operator + owned land</t>
  </si>
  <si>
    <t>LND</t>
  </si>
  <si>
    <t>BrasilAgro (ADR)</t>
  </si>
  <si>
    <t>Land development + operator</t>
  </si>
  <si>
    <t>AGRO</t>
  </si>
  <si>
    <t>Adecoagro</t>
  </si>
  <si>
    <t>Argentina</t>
  </si>
  <si>
    <t>Operator + owned land + sugar/et...</t>
  </si>
  <si>
    <t>US + AUSTRALIA — farmland operators &amp; REITs</t>
  </si>
  <si>
    <t>ALCO</t>
  </si>
  <si>
    <t>Alico</t>
  </si>
  <si>
    <t>United..</t>
  </si>
  <si>
    <t>Citrus + Florida land (divesting...</t>
  </si>
  <si>
    <t>LMNR</t>
  </si>
  <si>
    <t>Limoneira</t>
  </si>
  <si>
    <t>Citrus + CA land + real estate d...</t>
  </si>
  <si>
    <t>FPI</t>
  </si>
  <si>
    <t>Farmland Partners</t>
  </si>
  <si>
    <t>Pure farmland REIT</t>
  </si>
  <si>
    <t>RFF</t>
  </si>
  <si>
    <t>Rural Funds Group</t>
  </si>
  <si>
    <t>Australia</t>
  </si>
  <si>
    <t>Diversified ag REIT (almond, mac...</t>
  </si>
  <si>
    <t>DBF</t>
  </si>
  <si>
    <t>Duxton Farms</t>
  </si>
  <si>
    <t>Diversified ag operator (crop, l...</t>
  </si>
  <si>
    <t>LSE / EUROPE — plantations, palm oil, conglomerates</t>
  </si>
  <si>
    <t>MPE</t>
  </si>
  <si>
    <t>MP Evans Group</t>
  </si>
  <si>
    <t>Indonesia..</t>
  </si>
  <si>
    <t>Indonesian palm oil producer (ow...</t>
  </si>
  <si>
    <t>AEP</t>
  </si>
  <si>
    <t>AEP Plantations (fka Anglo-Eastern)</t>
  </si>
  <si>
    <t>Indonesian/Malaysian palm oil pr...</t>
  </si>
  <si>
    <t>RE</t>
  </si>
  <si>
    <t>REA Holdings</t>
  </si>
  <si>
    <t>Indonesian palm oil + stone/coal...</t>
  </si>
  <si>
    <t>CAM</t>
  </si>
  <si>
    <t>Camellia</t>
  </si>
  <si>
    <t>UK-listed..</t>
  </si>
  <si>
    <t>Diversified ag conglomerate (tea...</t>
  </si>
  <si>
    <t>DKL</t>
  </si>
  <si>
    <t>Dekel Agri-Vision</t>
  </si>
  <si>
    <t>Côte..</t>
  </si>
  <si>
    <t>West African palm oil + cashew p...</t>
  </si>
  <si>
    <t>ALAGR</t>
  </si>
  <si>
    <t>AgroGeneration</t>
  </si>
  <si>
    <t>Ukraine..</t>
  </si>
  <si>
    <t>Ukrainian grain/oilseed operator...</t>
  </si>
  <si>
    <t>Sources &amp; Caveats</t>
  </si>
  <si>
    <t>Provenance for every data point used in this workbook</t>
  </si>
  <si>
    <t>Source</t>
  </si>
  <si>
    <t>Date / Notes</t>
  </si>
  <si>
    <t>Release de Resultados 4T25 e 2025 (filed March 16, 2026)</t>
  </si>
  <si>
    <t>Earnings release — provided by user</t>
  </si>
  <si>
    <t>DFP - Demonstrações Financeiras Padronizadas - 31/12/2025</t>
  </si>
  <si>
    <t>Audited financial statements — provided by user</t>
  </si>
  <si>
    <t>S&amp;P Global appraisal of land + improvements (Nov 2025 base date)</t>
  </si>
  <si>
    <t>Disclosed Jan 2026</t>
  </si>
  <si>
    <t>Yahoo Finance, Investidor10, statusinvest</t>
  </si>
  <si>
    <t>Pricing as of late April 2026</t>
  </si>
  <si>
    <t>AGRO3</t>
  </si>
  <si>
    <t>BrasilAgro 6-K filing (FY2024/25 ended Jun 30, 2025)</t>
  </si>
  <si>
    <t>Annual report</t>
  </si>
  <si>
    <t>stockanalysis.com, pitchbook profile</t>
  </si>
  <si>
    <t>Mkt cap, valuation snapshots</t>
  </si>
  <si>
    <t>TradingView, stockanalysis, ri.slcagricola.com.br</t>
  </si>
  <si>
    <t>Pricing, financials</t>
  </si>
  <si>
    <t>SOJA3</t>
  </si>
  <si>
    <t>MarketScreener, B3 listings</t>
  </si>
  <si>
    <t>Brazilian small-cap data</t>
  </si>
  <si>
    <t>Farmland Partners 10-K, eToro, etoro markets</t>
  </si>
  <si>
    <t>Pricing as of April 2026</t>
  </si>
  <si>
    <t>LAND</t>
  </si>
  <si>
    <t>Gladstone Land filings; Seeking Alpha coverage</t>
  </si>
  <si>
    <t>Pricing approx</t>
  </si>
  <si>
    <t>Adecoagro Q4 2025 earnings release (March 16, 2026); SEC 6-K</t>
  </si>
  <si>
    <t>Press release; pro forma EBITDA per company guidance</t>
  </si>
  <si>
    <t>FX</t>
  </si>
  <si>
    <t>BCB / FRED USD/BRL spot ~5.10</t>
  </si>
  <si>
    <t>April 2026</t>
  </si>
  <si>
    <t>All</t>
  </si>
  <si>
    <t>Forward projections labeled E</t>
  </si>
  <si>
    <t>CAVEATS</t>
  </si>
  <si>
    <t>LAND3 historicals</t>
  </si>
  <si>
    <t>2022/2023 figures are partly inferred from disclosed land valuations and balance sheet trajectory; only 2024A and 2025A are directly from filings.</t>
  </si>
  <si>
    <t>LAND3's 2025 adjusted EBITDA of R$66.5M reflects management's add-back of R$64.3M of non-recurring contingency-related items. Comps display REPORTED EBITDA for apples-to-apples; adjusted is shown in Consensus Notes commentary only.</t>
  </si>
  <si>
    <t>Property write-off</t>
  </si>
  <si>
    <t>4,570 ha (5.7% of portfolio) written off in 2025 as 'phantom' or 'sem posse'. Auditor flagged as the only Key Audit Matter. Restated 2024 balance sheet down R$63.3M.</t>
  </si>
  <si>
    <t>Lease cash stream</t>
  </si>
  <si>
    <t>DFP discloses contractual receivables of R$2,021.5M nominal through 2046. Schedule used in DCF sheet; assumes 5% step-up at 2028 and 3% at subsequent triennial resets.</t>
  </si>
  <si>
    <t>FX risk</t>
  </si>
  <si>
    <t>Lease revenue indexed to soy in USD/CBOT, settled in BRL. ~66% of FY26 soy / 68% of FY26 USD hedged via NDFs at YE25 per the 4T25 release.</t>
  </si>
  <si>
    <t>Comparability</t>
  </si>
  <si>
    <t>Brazilian operating-ag peers (SLCE3, AGRO3, SOJA3) carry biological assets at fair value, which distorts EBITDA comparisons vs. farmland REIT structures (FPI, LAND, LAND3).</t>
  </si>
  <si>
    <t>Forward estimates</t>
  </si>
  <si>
    <t>Single-tenant risk</t>
  </si>
  <si>
    <t>LAND3 has one tenant (SLC Agricola) for 100% of leased revenue. Counterparty risk is elevated but offset by SLCE3's R$8B market cap and operational continuity through 2046.</t>
  </si>
  <si>
    <t>Prepared by: Noah Goldberg  |  Currency: BRL millions unless noted</t>
  </si>
  <si>
    <t>USD-translated NAV/TBV per share + year-end NAV discount for the 4 LatAm public ag land holders. Source: Ag Land Comps Tracker. Two-panel view: (a) USD NAV/share evolution and (b) discount to NAV. LAND3's NAV/share has been roughly flat in USD terms since 2021, while peers (especially SLCE3, AGRO) have grown — primarily a BRL drag for LAND3.</t>
  </si>
  <si>
    <t>Source: Ag Land Comps Tracker (April 24, 2026 cut). 15 publicly-listed ag land names. USD-normalized using Apr-2026 spot FX. NAV discount = (Price − NAV per share) / NAV per share. Asset cap rate = EBITDA / Appraisal — clean rent yield for pure landlords (LAND3/FPI/RFF), EBITDA-on-land yield for operators (peach fill). Market cap rate = EBITDA / Market Cap — what the equity holder actually earns. 5yr NAV CAGR = USD NAV/share growth 2020-2025 (LatAm only; others have no NAV time-series in tracker).</t>
  </si>
  <si>
    <t>model assumptions</t>
  </si>
  <si>
    <t>LAND3 has minimal sell-side coverage. Forward estimates used in Comps for LAND3 are Noah's model Base Case projections; for peers, primarily company guidance + consensus where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</si>
</sst>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
    <numFmt numFmtId="165" formatCode="#,##0;\(#,##0\);\—"/>
    <numFmt numFmtId="166" formatCode="0.0%;\(0.0%\);\—"/>
    <numFmt numFmtId="167" formatCode="#,##0.0;\(#,##0.0\);\—"/>
    <numFmt numFmtId="168" formatCode="0.0\x;\(0.0&quot;x)&quot;;\—"/>
    <numFmt numFmtId="169" formatCode="0.00\x;\(0.00&quot;x)&quot;;\—"/>
    <numFmt numFmtId="170" formatCode="#,##0;\—"/>
    <numFmt numFmtId="171" formatCode="0.0"/>
    <numFmt numFmtId="172" formatCode="\+0.0%;\-0.0%;\—"/>
    <numFmt numFmtId="173" formatCode="0.000"/>
  </numFmts>
  <fonts count="37" x14ac:knownFonts="1">
    <font>
      <sz val="11"/>
      <color theme="1"/>
      <name val="Calibri"/>
      <family val="2"/>
      <charset val="1"/>
    </font>
    <font>
      <b/>
      <sz val="18"/>
      <color rgb="FF1F3864"/>
      <name val="Arial"/>
      <charset val="1"/>
    </font>
    <font>
      <b/>
      <sz val="9"/>
      <color rgb="FF1F3864"/>
      <name val="Arial"/>
      <charset val="1"/>
    </font>
    <font>
      <i/>
      <sz val="11"/>
      <color rgb="FF7F7F7F"/>
      <name val="Arial"/>
      <charset val="1"/>
    </font>
    <font>
      <i/>
      <sz val="9"/>
      <color rgb="FF1F4E79"/>
      <name val="Arial"/>
      <charset val="1"/>
    </font>
    <font>
      <i/>
      <sz val="10"/>
      <color rgb="FF7F7F7F"/>
      <name val="Arial"/>
      <charset val="1"/>
    </font>
    <font>
      <i/>
      <sz val="9"/>
      <color rgb="FF375623"/>
      <name val="Arial"/>
      <charset val="1"/>
    </font>
    <font>
      <sz val="9"/>
      <color rgb="FF000000"/>
      <name val="Arial"/>
      <charset val="1"/>
    </font>
    <font>
      <b/>
      <sz val="12"/>
      <color rgb="FF1F3864"/>
      <name val="Arial"/>
      <charset val="1"/>
    </font>
    <font>
      <sz val="10"/>
      <color rgb="FF000000"/>
      <name val="Arial"/>
      <charset val="1"/>
    </font>
    <font>
      <b/>
      <sz val="10"/>
      <color rgb="FF000000"/>
      <name val="Arial"/>
      <charset val="1"/>
    </font>
    <font>
      <b/>
      <sz val="10"/>
      <color rgb="FF1F4E79"/>
      <name val="Arial"/>
      <charset val="1"/>
    </font>
    <font>
      <b/>
      <sz val="10"/>
      <color rgb="FF1F3864"/>
      <name val="Arial"/>
      <charset val="1"/>
    </font>
    <font>
      <b/>
      <sz val="8"/>
      <color rgb="FF1F3864"/>
      <name val="Arial"/>
      <charset val="1"/>
    </font>
    <font>
      <i/>
      <sz val="8"/>
      <color rgb="FF1F4E79"/>
      <name val="Arial"/>
      <charset val="1"/>
    </font>
    <font>
      <b/>
      <sz val="14"/>
      <color rgb="FF1F3864"/>
      <name val="Arial"/>
      <charset val="1"/>
    </font>
    <font>
      <i/>
      <sz val="8"/>
      <color rgb="FF000000"/>
      <name val="Arial"/>
      <charset val="1"/>
    </font>
    <font>
      <b/>
      <i/>
      <sz val="10"/>
      <color rgb="FF375623"/>
      <name val="Arial"/>
      <charset val="1"/>
    </font>
    <font>
      <sz val="10"/>
      <color rgb="FF1F4E79"/>
      <name val="Arial"/>
      <charset val="1"/>
    </font>
    <font>
      <i/>
      <sz val="9"/>
      <color rgb="FF7F7F7F"/>
      <name val="Arial"/>
      <charset val="1"/>
    </font>
    <font>
      <i/>
      <sz val="10"/>
      <color rgb="FF000000"/>
      <name val="Arial"/>
      <charset val="1"/>
    </font>
    <font>
      <i/>
      <sz val="8"/>
      <color rgb="FF7F7F7F"/>
      <name val="Arial"/>
      <charset val="1"/>
    </font>
    <font>
      <b/>
      <sz val="11"/>
      <color rgb="FFFFFFFF"/>
      <name val="Arial"/>
      <charset val="1"/>
    </font>
    <font>
      <i/>
      <sz val="10"/>
      <color rgb="FF375623"/>
      <name val="Arial"/>
      <charset val="1"/>
    </font>
    <font>
      <sz val="10"/>
      <color rgb="FF375623"/>
      <name val="Arial"/>
      <charset val="1"/>
    </font>
    <font>
      <i/>
      <sz val="10"/>
      <color rgb="FF1F4E79"/>
      <name val="Arial"/>
      <charset val="1"/>
    </font>
    <font>
      <b/>
      <sz val="11"/>
      <color rgb="FF1F3864"/>
      <name val="Arial"/>
      <charset val="1"/>
    </font>
    <font>
      <b/>
      <sz val="10"/>
      <color rgb="FF375623"/>
      <name val="Arial"/>
      <charset val="1"/>
    </font>
    <font>
      <b/>
      <i/>
      <sz val="10"/>
      <color rgb="FF000000"/>
      <name val="Arial"/>
      <charset val="1"/>
    </font>
    <font>
      <b/>
      <sz val="10"/>
      <color rgb="FFFFFFFF"/>
      <name val="Arial"/>
      <charset val="1"/>
    </font>
    <font>
      <b/>
      <sz val="9"/>
      <color rgb="FFFFFFFF"/>
      <name val="Arial"/>
      <charset val="1"/>
    </font>
    <font>
      <b/>
      <i/>
      <sz val="10"/>
      <color rgb="FF1F4E79"/>
      <name val="Arial"/>
      <charset val="1"/>
    </font>
    <font>
      <b/>
      <sz val="9"/>
      <color rgb="FF000000"/>
      <name val="Arial"/>
      <charset val="1"/>
    </font>
    <font>
      <b/>
      <i/>
      <sz val="9"/>
      <color rgb="FF7F7F7F"/>
      <name val="Arial"/>
      <charset val="1"/>
    </font>
    <font>
      <b/>
      <i/>
      <sz val="9"/>
      <color rgb="FF1F3864"/>
      <name val="Arial"/>
      <charset val="1"/>
    </font>
    <font>
      <sz val="9"/>
      <color rgb="FF1F4E79"/>
      <name val="Arial"/>
      <charset val="1"/>
    </font>
    <font>
      <b/>
      <sz val="13"/>
      <color rgb="FF1F3864"/>
      <name val="Arial"/>
      <charset val="1"/>
    </font>
  </fonts>
  <fills count="9">
    <fill>
      <patternFill patternType="none"/>
    </fill>
    <fill>
      <patternFill patternType="gray125"/>
    </fill>
    <fill>
      <patternFill patternType="solid">
        <fgColor rgb="FFDDEBF7"/>
        <bgColor rgb="FFE2EFDA"/>
      </patternFill>
    </fill>
    <fill>
      <patternFill patternType="solid">
        <fgColor rgb="FFD9D9D9"/>
        <bgColor rgb="FFDDEBF7"/>
      </patternFill>
    </fill>
    <fill>
      <patternFill patternType="solid">
        <fgColor rgb="FFE2EFDA"/>
        <bgColor rgb="FFDDEBF7"/>
      </patternFill>
    </fill>
    <fill>
      <patternFill patternType="solid">
        <fgColor rgb="FF1F3864"/>
        <bgColor rgb="FF1F4E79"/>
      </patternFill>
    </fill>
    <fill>
      <patternFill patternType="solid">
        <fgColor rgb="FFFCE4D6"/>
        <bgColor rgb="FFFCE4E4"/>
      </patternFill>
    </fill>
    <fill>
      <patternFill patternType="solid">
        <fgColor rgb="FFFFE699"/>
        <bgColor rgb="FFFCE4D6"/>
      </patternFill>
    </fill>
    <fill>
      <patternFill patternType="solid">
        <fgColor rgb="FFFCE4E4"/>
        <bgColor rgb="FFFCE4D6"/>
      </patternFill>
    </fill>
  </fills>
  <borders count="1">
    <border>
      <left/>
      <right/>
      <top/>
      <bottom/>
      <diagonal/>
    </border>
  </borders>
  <cellStyleXfs count="1">
    <xf numFmtId="0" fontId="0" fillId="0" borderId="0"/>
  </cellStyleXfs>
  <cellXfs count="205">
    <xf numFmtId="0" fontId="0" fillId="0" borderId="0" xfId="0"/>
    <xf numFmtId="0" fontId="8" fillId="0" borderId="0" xfId="0" applyFont="1"/>
    <xf numFmtId="0" fontId="22" fillId="5" borderId="0" xfId="0" applyFont="1" applyFill="1" applyAlignment="1">
      <alignment horizontal="left" vertical="center" indent="1"/>
    </xf>
    <xf numFmtId="0" fontId="21" fillId="0" borderId="0" xfId="0" applyFont="1" applyAlignment="1">
      <alignment horizontal="left" vertical="center"/>
    </xf>
    <xf numFmtId="0" fontId="19" fillId="0" borderId="0" xfId="0" applyFont="1"/>
    <xf numFmtId="0" fontId="21" fillId="0" borderId="0" xfId="0" applyFont="1" applyAlignment="1">
      <alignment horizontal="left" vertical="top" wrapText="1"/>
    </xf>
    <xf numFmtId="0" fontId="9" fillId="0" borderId="0" xfId="0" applyFont="1"/>
    <xf numFmtId="0" fontId="1" fillId="0" borderId="0" xfId="0" applyFont="1"/>
    <xf numFmtId="0" fontId="2" fillId="0" borderId="0" xfId="0" applyFont="1"/>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7" fillId="0" borderId="0" xfId="0" applyFont="1" applyAlignment="1">
      <alignment horizontal="left" vertical="center"/>
    </xf>
    <xf numFmtId="0" fontId="7" fillId="2" borderId="0" xfId="0" applyFont="1" applyFill="1" applyAlignment="1">
      <alignment horizontal="left" vertical="center"/>
    </xf>
    <xf numFmtId="0" fontId="7" fillId="3" borderId="0" xfId="0" applyFont="1" applyFill="1" applyAlignment="1">
      <alignment horizontal="left" vertical="center"/>
    </xf>
    <xf numFmtId="0" fontId="7" fillId="4" borderId="0" xfId="0" applyFont="1" applyFill="1" applyAlignment="1">
      <alignment horizontal="left" vertical="center"/>
    </xf>
    <xf numFmtId="0" fontId="10" fillId="0" borderId="0" xfId="0" applyFont="1" applyAlignment="1">
      <alignment horizontal="left"/>
    </xf>
    <xf numFmtId="164" fontId="11" fillId="0" borderId="0" xfId="0" applyNumberFormat="1" applyFont="1" applyAlignment="1">
      <alignment horizontal="right"/>
    </xf>
    <xf numFmtId="165" fontId="11" fillId="0" borderId="0" xfId="0" applyNumberFormat="1" applyFont="1" applyAlignment="1">
      <alignment horizontal="right"/>
    </xf>
    <xf numFmtId="166" fontId="11" fillId="0" borderId="0" xfId="0" applyNumberFormat="1" applyFont="1" applyAlignment="1">
      <alignment horizontal="right"/>
    </xf>
    <xf numFmtId="167" fontId="11" fillId="0" borderId="0" xfId="0" applyNumberFormat="1" applyFont="1" applyAlignment="1">
      <alignment horizontal="right"/>
    </xf>
    <xf numFmtId="168" fontId="11" fillId="0" borderId="0" xfId="0" applyNumberFormat="1" applyFont="1" applyAlignment="1">
      <alignment horizontal="right"/>
    </xf>
    <xf numFmtId="169" fontId="11" fillId="0" borderId="0" xfId="0" applyNumberFormat="1" applyFont="1" applyAlignment="1">
      <alignment horizontal="right"/>
    </xf>
    <xf numFmtId="0" fontId="12" fillId="0" borderId="0" xfId="0" applyFont="1"/>
    <xf numFmtId="0" fontId="13" fillId="0" borderId="0" xfId="0" applyFont="1" applyAlignment="1">
      <alignment horizontal="left" vertic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6" fillId="2" borderId="0" xfId="0" applyFont="1" applyFill="1" applyAlignment="1">
      <alignment horizontal="center"/>
    </xf>
    <xf numFmtId="0" fontId="16" fillId="3" borderId="0" xfId="0" applyFont="1" applyFill="1" applyAlignment="1">
      <alignment horizontal="center"/>
    </xf>
    <xf numFmtId="0" fontId="10" fillId="0" borderId="0" xfId="0" applyFont="1"/>
    <xf numFmtId="1" fontId="11" fillId="2" borderId="0" xfId="0" applyNumberFormat="1" applyFont="1" applyFill="1" applyAlignment="1">
      <alignment horizontal="center" vertical="center"/>
    </xf>
    <xf numFmtId="0" fontId="17" fillId="0" borderId="0" xfId="0" applyFont="1" applyAlignment="1">
      <alignment horizontal="left"/>
    </xf>
    <xf numFmtId="0" fontId="12" fillId="0" borderId="0" xfId="0" applyFont="1" applyAlignment="1">
      <alignment horizontal="right"/>
    </xf>
    <xf numFmtId="167" fontId="10" fillId="3" borderId="0" xfId="0" applyNumberFormat="1" applyFont="1" applyFill="1" applyAlignment="1">
      <alignment horizontal="right" vertical="center"/>
    </xf>
    <xf numFmtId="166" fontId="10" fillId="3" borderId="0" xfId="0" applyNumberFormat="1" applyFont="1" applyFill="1" applyAlignment="1">
      <alignment horizontal="right" vertical="center"/>
    </xf>
    <xf numFmtId="0" fontId="12" fillId="3" borderId="0" xfId="0" applyFont="1" applyFill="1" applyAlignment="1">
      <alignment horizontal="center" vertical="center"/>
    </xf>
    <xf numFmtId="1" fontId="11" fillId="0" borderId="0" xfId="0" applyNumberFormat="1" applyFont="1" applyAlignment="1">
      <alignment horizontal="center" vertical="center"/>
    </xf>
    <xf numFmtId="166" fontId="18" fillId="2" borderId="0" xfId="0" applyNumberFormat="1" applyFont="1" applyFill="1" applyAlignment="1">
      <alignment horizontal="center" vertical="center"/>
    </xf>
    <xf numFmtId="166" fontId="20" fillId="3" borderId="0" xfId="0" applyNumberFormat="1" applyFont="1" applyFill="1" applyAlignment="1">
      <alignment horizontal="center" vertical="center"/>
    </xf>
    <xf numFmtId="0" fontId="20" fillId="0" borderId="0" xfId="0" applyFont="1"/>
    <xf numFmtId="167" fontId="18" fillId="2" borderId="0" xfId="0" applyNumberFormat="1" applyFont="1" applyFill="1" applyAlignment="1">
      <alignment horizontal="center" vertical="center"/>
    </xf>
    <xf numFmtId="0" fontId="0" fillId="5" borderId="0" xfId="0" applyFill="1"/>
    <xf numFmtId="0" fontId="9" fillId="0" borderId="0" xfId="0" applyFont="1" applyAlignment="1">
      <alignment horizontal="left" vertical="center"/>
    </xf>
    <xf numFmtId="167" fontId="18" fillId="2" borderId="0" xfId="0" applyNumberFormat="1" applyFont="1" applyFill="1" applyAlignment="1">
      <alignment horizontal="right" vertical="center"/>
    </xf>
    <xf numFmtId="166" fontId="18" fillId="2" borderId="0" xfId="0" applyNumberFormat="1" applyFont="1" applyFill="1" applyAlignment="1">
      <alignment horizontal="right" vertical="center"/>
    </xf>
    <xf numFmtId="165" fontId="18" fillId="2" borderId="0" xfId="0" applyNumberFormat="1" applyFont="1" applyFill="1" applyAlignment="1">
      <alignment horizontal="right" vertical="center"/>
    </xf>
    <xf numFmtId="1" fontId="18" fillId="2" borderId="0" xfId="0" applyNumberFormat="1" applyFont="1" applyFill="1" applyAlignment="1">
      <alignment horizontal="right" vertical="center"/>
    </xf>
    <xf numFmtId="164" fontId="18" fillId="2" borderId="0" xfId="0" applyNumberFormat="1" applyFont="1" applyFill="1" applyAlignment="1">
      <alignment horizontal="right" vertical="center"/>
    </xf>
    <xf numFmtId="0" fontId="12" fillId="4" borderId="0" xfId="0" applyFont="1" applyFill="1" applyAlignment="1">
      <alignment horizontal="center" vertical="center"/>
    </xf>
    <xf numFmtId="0" fontId="12" fillId="6" borderId="0" xfId="0" applyFont="1" applyFill="1" applyAlignment="1">
      <alignment horizontal="center" vertical="center"/>
    </xf>
    <xf numFmtId="0" fontId="23" fillId="0" borderId="0" xfId="0" applyFont="1" applyAlignment="1">
      <alignment horizontal="left" vertical="center"/>
    </xf>
    <xf numFmtId="170" fontId="18" fillId="0" borderId="0" xfId="0" applyNumberFormat="1" applyFont="1" applyAlignment="1">
      <alignment horizontal="right" vertical="center"/>
    </xf>
    <xf numFmtId="170" fontId="9" fillId="0" borderId="0" xfId="0" applyNumberFormat="1" applyFont="1" applyAlignment="1">
      <alignment horizontal="right" vertical="center"/>
    </xf>
    <xf numFmtId="167" fontId="18" fillId="0" borderId="0" xfId="0" applyNumberFormat="1" applyFont="1" applyAlignment="1">
      <alignment horizontal="center" vertical="center"/>
    </xf>
    <xf numFmtId="167" fontId="24" fillId="6" borderId="0" xfId="0" applyNumberFormat="1" applyFont="1" applyFill="1" applyAlignment="1">
      <alignment horizontal="center" vertical="center"/>
    </xf>
    <xf numFmtId="167" fontId="18" fillId="6" borderId="0" xfId="0" applyNumberFormat="1" applyFont="1" applyFill="1" applyAlignment="1">
      <alignment horizontal="center" vertical="center"/>
    </xf>
    <xf numFmtId="0" fontId="10" fillId="0" borderId="0" xfId="0" applyFont="1" applyAlignment="1">
      <alignment horizontal="left" vertical="center"/>
    </xf>
    <xf numFmtId="166" fontId="10" fillId="3" borderId="0" xfId="0" applyNumberFormat="1" applyFont="1" applyFill="1" applyAlignment="1">
      <alignment horizontal="center" vertical="center"/>
    </xf>
    <xf numFmtId="164" fontId="18" fillId="0" borderId="0" xfId="0" applyNumberFormat="1" applyFont="1" applyAlignment="1">
      <alignment horizontal="center" vertical="center"/>
    </xf>
    <xf numFmtId="164" fontId="18" fillId="6" borderId="0" xfId="0" applyNumberFormat="1" applyFont="1" applyFill="1" applyAlignment="1">
      <alignment horizontal="center" vertical="center"/>
    </xf>
    <xf numFmtId="165" fontId="9" fillId="0" borderId="0" xfId="0" applyNumberFormat="1" applyFont="1" applyAlignment="1">
      <alignment horizontal="center" vertical="center"/>
    </xf>
    <xf numFmtId="167" fontId="10" fillId="3" borderId="0" xfId="0" applyNumberFormat="1" applyFont="1" applyFill="1" applyAlignment="1">
      <alignment horizontal="center" vertical="center"/>
    </xf>
    <xf numFmtId="0" fontId="20" fillId="0" borderId="0" xfId="0" applyFont="1" applyAlignment="1">
      <alignment horizontal="left" vertical="center"/>
    </xf>
    <xf numFmtId="167" fontId="20" fillId="0" borderId="0" xfId="0" applyNumberFormat="1" applyFont="1" applyAlignment="1">
      <alignment horizontal="center" vertical="center"/>
    </xf>
    <xf numFmtId="164" fontId="18" fillId="0" borderId="0" xfId="0" applyNumberFormat="1" applyFont="1" applyAlignment="1">
      <alignment horizontal="right" vertical="center"/>
    </xf>
    <xf numFmtId="164" fontId="24" fillId="0" borderId="0" xfId="0" applyNumberFormat="1" applyFont="1" applyAlignment="1">
      <alignment horizontal="right" vertical="center"/>
    </xf>
    <xf numFmtId="165" fontId="10" fillId="3" borderId="0" xfId="0" applyNumberFormat="1" applyFont="1" applyFill="1" applyAlignment="1">
      <alignment horizontal="right" vertical="center"/>
    </xf>
    <xf numFmtId="167" fontId="18" fillId="0" borderId="0" xfId="0" applyNumberFormat="1" applyFont="1" applyAlignment="1">
      <alignment horizontal="right" vertical="center"/>
    </xf>
    <xf numFmtId="165" fontId="25" fillId="0" borderId="0" xfId="0" applyNumberFormat="1" applyFont="1" applyAlignment="1">
      <alignment horizontal="right" vertical="center"/>
    </xf>
    <xf numFmtId="166" fontId="20" fillId="3" borderId="0" xfId="0" applyNumberFormat="1" applyFont="1" applyFill="1" applyAlignment="1">
      <alignment horizontal="right" vertical="center"/>
    </xf>
    <xf numFmtId="0" fontId="26" fillId="0" borderId="0" xfId="0" applyFont="1"/>
    <xf numFmtId="164" fontId="5" fillId="0" borderId="0" xfId="0" applyNumberFormat="1" applyFont="1" applyAlignment="1">
      <alignment horizontal="right" vertical="center"/>
    </xf>
    <xf numFmtId="167" fontId="5" fillId="0" borderId="0" xfId="0" applyNumberFormat="1" applyFont="1" applyAlignment="1">
      <alignment horizontal="right" vertical="center"/>
    </xf>
    <xf numFmtId="167" fontId="11" fillId="4" borderId="0" xfId="0" applyNumberFormat="1" applyFont="1" applyFill="1" applyAlignment="1">
      <alignment horizontal="right" vertical="center"/>
    </xf>
    <xf numFmtId="167" fontId="27" fillId="6" borderId="0" xfId="0" applyNumberFormat="1" applyFont="1" applyFill="1" applyAlignment="1">
      <alignment horizontal="right" vertical="center"/>
    </xf>
    <xf numFmtId="167" fontId="24" fillId="6" borderId="0" xfId="0" applyNumberFormat="1" applyFont="1" applyFill="1" applyAlignment="1">
      <alignment horizontal="right" vertical="center"/>
    </xf>
    <xf numFmtId="166" fontId="5" fillId="0" borderId="0" xfId="0" applyNumberFormat="1" applyFont="1" applyAlignment="1">
      <alignment horizontal="right" vertical="center"/>
    </xf>
    <xf numFmtId="0" fontId="5" fillId="0" borderId="0" xfId="0" applyFont="1" applyAlignment="1">
      <alignment horizontal="left" vertical="center"/>
    </xf>
    <xf numFmtId="167" fontId="25" fillId="0" borderId="0" xfId="0" applyNumberFormat="1" applyFont="1" applyAlignment="1">
      <alignment horizontal="right" vertical="center"/>
    </xf>
    <xf numFmtId="167" fontId="23" fillId="6" borderId="0" xfId="0" applyNumberFormat="1" applyFont="1" applyFill="1" applyAlignment="1">
      <alignment horizontal="right" vertical="center"/>
    </xf>
    <xf numFmtId="167" fontId="25" fillId="6" borderId="0" xfId="0" applyNumberFormat="1" applyFont="1" applyFill="1" applyAlignment="1">
      <alignment horizontal="right" vertical="center"/>
    </xf>
    <xf numFmtId="167" fontId="20" fillId="0" borderId="0" xfId="0" applyNumberFormat="1" applyFont="1" applyAlignment="1">
      <alignment horizontal="right" vertical="center"/>
    </xf>
    <xf numFmtId="164" fontId="10" fillId="0" borderId="0" xfId="0" applyNumberFormat="1" applyFont="1" applyAlignment="1">
      <alignment horizontal="right" vertical="center"/>
    </xf>
    <xf numFmtId="167" fontId="9" fillId="6" borderId="0" xfId="0" applyNumberFormat="1" applyFont="1" applyFill="1" applyAlignment="1">
      <alignment horizontal="right" vertical="center"/>
    </xf>
    <xf numFmtId="169" fontId="5" fillId="0" borderId="0" xfId="0" applyNumberFormat="1" applyFont="1" applyAlignment="1">
      <alignment horizontal="right" vertical="center"/>
    </xf>
    <xf numFmtId="165" fontId="27" fillId="2" borderId="0" xfId="0" applyNumberFormat="1" applyFont="1" applyFill="1" applyAlignment="1">
      <alignment horizontal="right" vertical="center"/>
    </xf>
    <xf numFmtId="165" fontId="9" fillId="6" borderId="0" xfId="0" applyNumberFormat="1" applyFont="1" applyFill="1" applyAlignment="1">
      <alignment horizontal="right" vertical="center"/>
    </xf>
    <xf numFmtId="165" fontId="5" fillId="0" borderId="0" xfId="0" applyNumberFormat="1" applyFont="1" applyAlignment="1">
      <alignment horizontal="right" vertical="center"/>
    </xf>
    <xf numFmtId="165" fontId="18" fillId="0" borderId="0" xfId="0" applyNumberFormat="1" applyFont="1" applyAlignment="1">
      <alignment horizontal="right" vertical="center"/>
    </xf>
    <xf numFmtId="165" fontId="24" fillId="6" borderId="0" xfId="0" applyNumberFormat="1" applyFont="1" applyFill="1" applyAlignment="1">
      <alignment horizontal="right" vertical="center"/>
    </xf>
    <xf numFmtId="0" fontId="28" fillId="0" borderId="0" xfId="0" applyFont="1" applyAlignment="1">
      <alignment horizontal="left" vertical="center"/>
    </xf>
    <xf numFmtId="164" fontId="28" fillId="3" borderId="0" xfId="0" applyNumberFormat="1" applyFont="1" applyFill="1" applyAlignment="1">
      <alignment horizontal="right" vertical="center"/>
    </xf>
    <xf numFmtId="167" fontId="9" fillId="0" borderId="0" xfId="0" applyNumberFormat="1" applyFont="1" applyAlignment="1">
      <alignment horizontal="right" vertical="center"/>
    </xf>
    <xf numFmtId="166" fontId="24" fillId="0" borderId="0" xfId="0" applyNumberFormat="1" applyFont="1" applyAlignment="1">
      <alignment horizontal="right" vertical="center"/>
    </xf>
    <xf numFmtId="164" fontId="9" fillId="0" borderId="0" xfId="0" applyNumberFormat="1" applyFont="1" applyAlignment="1">
      <alignment horizontal="right" vertical="center"/>
    </xf>
    <xf numFmtId="171" fontId="18" fillId="2" borderId="0" xfId="0" applyNumberFormat="1" applyFont="1" applyFill="1" applyAlignment="1">
      <alignment horizontal="right" vertical="center"/>
    </xf>
    <xf numFmtId="164" fontId="10" fillId="3" borderId="0" xfId="0" applyNumberFormat="1" applyFont="1" applyFill="1" applyAlignment="1">
      <alignment horizontal="right" vertical="center"/>
    </xf>
    <xf numFmtId="166" fontId="20" fillId="0" borderId="0" xfId="0" applyNumberFormat="1" applyFont="1" applyAlignment="1">
      <alignment horizontal="right" vertical="center"/>
    </xf>
    <xf numFmtId="164" fontId="27" fillId="3" borderId="0" xfId="0" applyNumberFormat="1" applyFont="1" applyFill="1" applyAlignment="1">
      <alignment horizontal="right" vertical="center"/>
    </xf>
    <xf numFmtId="164" fontId="10" fillId="2" borderId="0" xfId="0" applyNumberFormat="1" applyFont="1" applyFill="1" applyAlignment="1">
      <alignment horizontal="right" vertical="center"/>
    </xf>
    <xf numFmtId="172" fontId="20" fillId="0" borderId="0" xfId="0" applyNumberFormat="1" applyFont="1" applyAlignment="1">
      <alignment horizontal="right" vertical="center"/>
    </xf>
    <xf numFmtId="165" fontId="24" fillId="0" borderId="0" xfId="0" applyNumberFormat="1" applyFont="1" applyAlignment="1">
      <alignment horizontal="right" vertical="center"/>
    </xf>
    <xf numFmtId="165" fontId="9" fillId="0" borderId="0" xfId="0" applyNumberFormat="1" applyFont="1" applyAlignment="1">
      <alignment horizontal="right" vertical="center"/>
    </xf>
    <xf numFmtId="1" fontId="24" fillId="0" borderId="0" xfId="0" applyNumberFormat="1" applyFont="1" applyAlignment="1">
      <alignment horizontal="right" vertical="center"/>
    </xf>
    <xf numFmtId="1" fontId="29" fillId="5" borderId="0" xfId="0" applyNumberFormat="1" applyFont="1" applyFill="1" applyAlignment="1">
      <alignment horizontal="center" vertical="center"/>
    </xf>
    <xf numFmtId="1" fontId="5" fillId="0" borderId="0" xfId="0" applyNumberFormat="1" applyFont="1" applyAlignment="1">
      <alignment horizontal="center" vertical="center"/>
    </xf>
    <xf numFmtId="167" fontId="24" fillId="0" borderId="0" xfId="0" applyNumberFormat="1" applyFont="1" applyAlignment="1">
      <alignment horizontal="center" vertical="center"/>
    </xf>
    <xf numFmtId="167" fontId="9" fillId="0" borderId="0" xfId="0" applyNumberFormat="1" applyFont="1" applyAlignment="1">
      <alignment horizontal="center" vertical="center"/>
    </xf>
    <xf numFmtId="173" fontId="20" fillId="0" borderId="0" xfId="0" applyNumberFormat="1" applyFont="1" applyAlignment="1">
      <alignment horizontal="center" vertical="center"/>
    </xf>
    <xf numFmtId="165" fontId="9" fillId="6" borderId="0" xfId="0" applyNumberFormat="1" applyFont="1" applyFill="1" applyAlignment="1">
      <alignment horizontal="center" vertical="center"/>
    </xf>
    <xf numFmtId="166" fontId="10" fillId="2" borderId="0" xfId="0" applyNumberFormat="1" applyFont="1" applyFill="1" applyAlignment="1">
      <alignment horizontal="center" vertical="center"/>
    </xf>
    <xf numFmtId="172" fontId="20" fillId="0" borderId="0" xfId="0" applyNumberFormat="1" applyFont="1" applyAlignment="1">
      <alignment horizontal="center" vertical="center"/>
    </xf>
    <xf numFmtId="0" fontId="30" fillId="5" borderId="0" xfId="0" applyFont="1" applyFill="1" applyAlignment="1">
      <alignment horizontal="center" vertical="center"/>
    </xf>
    <xf numFmtId="164" fontId="10" fillId="3" borderId="0" xfId="0" applyNumberFormat="1" applyFont="1" applyFill="1" applyAlignment="1">
      <alignment horizontal="center" vertical="center"/>
    </xf>
    <xf numFmtId="172" fontId="9" fillId="0" borderId="0" xfId="0" applyNumberFormat="1" applyFont="1" applyAlignment="1">
      <alignment horizontal="center" vertical="center"/>
    </xf>
    <xf numFmtId="166" fontId="12" fillId="3" borderId="0" xfId="0" applyNumberFormat="1" applyFont="1" applyFill="1" applyAlignment="1">
      <alignment horizontal="center" vertical="center"/>
    </xf>
    <xf numFmtId="164" fontId="12" fillId="3" borderId="0" xfId="0" applyNumberFormat="1" applyFont="1" applyFill="1" applyAlignment="1">
      <alignment horizontal="center" vertical="center"/>
    </xf>
    <xf numFmtId="164" fontId="9" fillId="0" borderId="0" xfId="0" applyNumberFormat="1" applyFont="1" applyAlignment="1">
      <alignment horizontal="center" vertical="center"/>
    </xf>
    <xf numFmtId="164" fontId="9" fillId="7" borderId="0" xfId="0" applyNumberFormat="1" applyFont="1" applyFill="1" applyAlignment="1">
      <alignment horizontal="center" vertical="center"/>
    </xf>
    <xf numFmtId="172" fontId="12" fillId="3" borderId="0" xfId="0" applyNumberFormat="1" applyFont="1" applyFill="1" applyAlignment="1">
      <alignment horizontal="center" vertical="center"/>
    </xf>
    <xf numFmtId="166" fontId="9" fillId="0" borderId="0" xfId="0" applyNumberFormat="1" applyFont="1" applyAlignment="1">
      <alignment horizontal="center" vertical="center"/>
    </xf>
    <xf numFmtId="0" fontId="29" fillId="5" borderId="0" xfId="0" applyFont="1" applyFill="1" applyAlignment="1">
      <alignment horizontal="center" vertical="center"/>
    </xf>
    <xf numFmtId="0" fontId="29" fillId="5" borderId="0" xfId="0" applyFont="1" applyFill="1" applyAlignment="1">
      <alignment horizontal="center" vertical="center" wrapText="1"/>
    </xf>
    <xf numFmtId="166" fontId="11" fillId="2" borderId="0" xfId="0" applyNumberFormat="1" applyFont="1" applyFill="1" applyAlignment="1">
      <alignment horizontal="center" vertical="center"/>
    </xf>
    <xf numFmtId="166" fontId="24" fillId="0" borderId="0" xfId="0" applyNumberFormat="1" applyFont="1" applyAlignment="1">
      <alignment horizontal="center" vertical="center"/>
    </xf>
    <xf numFmtId="166" fontId="20" fillId="0" borderId="0" xfId="0" applyNumberFormat="1" applyFont="1" applyAlignment="1">
      <alignment horizontal="center" vertical="center"/>
    </xf>
    <xf numFmtId="166" fontId="9" fillId="3" borderId="0" xfId="0" applyNumberFormat="1" applyFont="1" applyFill="1" applyAlignment="1">
      <alignment horizontal="center" vertical="center"/>
    </xf>
    <xf numFmtId="164" fontId="5" fillId="0" borderId="0" xfId="0" applyNumberFormat="1" applyFont="1" applyAlignment="1">
      <alignment horizontal="center" vertical="center"/>
    </xf>
    <xf numFmtId="0" fontId="16" fillId="8" borderId="0" xfId="0" applyFont="1" applyFill="1" applyAlignment="1">
      <alignment horizontal="center"/>
    </xf>
    <xf numFmtId="0" fontId="16" fillId="4" borderId="0" xfId="0" applyFont="1" applyFill="1" applyAlignment="1">
      <alignment horizontal="center"/>
    </xf>
    <xf numFmtId="167" fontId="11" fillId="8" borderId="0" xfId="0" applyNumberFormat="1" applyFont="1" applyFill="1" applyAlignment="1">
      <alignment horizontal="center" vertical="center"/>
    </xf>
    <xf numFmtId="167" fontId="11" fillId="0" borderId="0" xfId="0" applyNumberFormat="1" applyFont="1" applyAlignment="1">
      <alignment horizontal="center" vertical="center"/>
    </xf>
    <xf numFmtId="167" fontId="11" fillId="4" borderId="0" xfId="0" applyNumberFormat="1" applyFont="1" applyFill="1" applyAlignment="1">
      <alignment horizontal="center" vertical="center"/>
    </xf>
    <xf numFmtId="165" fontId="20" fillId="0" borderId="0" xfId="0" applyNumberFormat="1" applyFont="1" applyAlignment="1">
      <alignment horizontal="center" vertical="center"/>
    </xf>
    <xf numFmtId="0" fontId="19" fillId="0" borderId="0" xfId="0" applyFont="1" applyAlignment="1">
      <alignment horizontal="center"/>
    </xf>
    <xf numFmtId="172" fontId="5" fillId="0" borderId="0" xfId="0" applyNumberFormat="1" applyFont="1" applyAlignment="1">
      <alignment horizontal="center" vertical="center"/>
    </xf>
    <xf numFmtId="167" fontId="5" fillId="0" borderId="0" xfId="0" applyNumberFormat="1" applyFont="1" applyAlignment="1">
      <alignment horizontal="center" vertical="center"/>
    </xf>
    <xf numFmtId="167" fontId="25" fillId="0" borderId="0" xfId="0" applyNumberFormat="1" applyFont="1" applyAlignment="1">
      <alignment horizontal="center" vertical="center"/>
    </xf>
    <xf numFmtId="0" fontId="12" fillId="3" borderId="0" xfId="0" applyFont="1" applyFill="1"/>
    <xf numFmtId="0" fontId="12" fillId="3" borderId="0" xfId="0" applyFont="1" applyFill="1" applyAlignment="1">
      <alignment horizontal="center"/>
    </xf>
    <xf numFmtId="0" fontId="0" fillId="3" borderId="0" xfId="0" applyFill="1"/>
    <xf numFmtId="0" fontId="20" fillId="0" borderId="0" xfId="0" applyFont="1" applyAlignment="1">
      <alignment horizontal="center"/>
    </xf>
    <xf numFmtId="0" fontId="14" fillId="6" borderId="0" xfId="0" applyFont="1" applyFill="1" applyAlignment="1">
      <alignment horizontal="center"/>
    </xf>
    <xf numFmtId="165" fontId="31" fillId="6" borderId="0" xfId="0" applyNumberFormat="1" applyFont="1" applyFill="1" applyAlignment="1">
      <alignment horizontal="center" vertical="center"/>
    </xf>
    <xf numFmtId="165" fontId="11" fillId="0" borderId="0" xfId="0" applyNumberFormat="1" applyFont="1" applyAlignment="1">
      <alignment horizontal="center" vertical="center"/>
    </xf>
    <xf numFmtId="165" fontId="10" fillId="3" borderId="0" xfId="0" applyNumberFormat="1" applyFont="1" applyFill="1" applyAlignment="1">
      <alignment horizontal="center" vertical="center"/>
    </xf>
    <xf numFmtId="164" fontId="25" fillId="0" borderId="0" xfId="0" applyNumberFormat="1" applyFont="1" applyAlignment="1">
      <alignment horizontal="center" vertical="center"/>
    </xf>
    <xf numFmtId="167" fontId="9" fillId="3" borderId="0" xfId="0" applyNumberFormat="1" applyFont="1" applyFill="1" applyAlignment="1">
      <alignment horizontal="center" vertical="center"/>
    </xf>
    <xf numFmtId="165" fontId="25" fillId="0" borderId="0" xfId="0" applyNumberFormat="1" applyFont="1" applyAlignment="1">
      <alignment horizontal="center" vertical="center"/>
    </xf>
    <xf numFmtId="0" fontId="10" fillId="3" borderId="0" xfId="0" applyFont="1" applyFill="1" applyAlignment="1">
      <alignment horizontal="center" vertical="center"/>
    </xf>
    <xf numFmtId="165" fontId="18" fillId="0" borderId="0" xfId="0" applyNumberFormat="1" applyFont="1" applyAlignment="1">
      <alignment horizontal="center" vertical="center"/>
    </xf>
    <xf numFmtId="168" fontId="10" fillId="3" borderId="0" xfId="0" applyNumberFormat="1" applyFont="1" applyFill="1" applyAlignment="1">
      <alignment horizontal="center" vertical="center"/>
    </xf>
    <xf numFmtId="168" fontId="5" fillId="0" borderId="0" xfId="0" applyNumberFormat="1" applyFont="1" applyAlignment="1">
      <alignment horizontal="center" vertical="center"/>
    </xf>
    <xf numFmtId="166" fontId="5" fillId="0" borderId="0" xfId="0" applyNumberFormat="1" applyFont="1" applyAlignment="1">
      <alignment horizontal="center" vertical="center"/>
    </xf>
    <xf numFmtId="1" fontId="30" fillId="5" borderId="0" xfId="0" applyNumberFormat="1" applyFont="1" applyFill="1" applyAlignment="1">
      <alignment horizontal="center" vertical="center"/>
    </xf>
    <xf numFmtId="164" fontId="7" fillId="0" borderId="0" xfId="0" applyNumberFormat="1" applyFont="1" applyAlignment="1">
      <alignment horizontal="center" vertical="center"/>
    </xf>
    <xf numFmtId="0" fontId="32" fillId="2" borderId="0" xfId="0" applyFont="1" applyFill="1" applyAlignment="1">
      <alignment horizontal="left" vertical="center"/>
    </xf>
    <xf numFmtId="164" fontId="32" fillId="2" borderId="0" xfId="0" applyNumberFormat="1" applyFont="1" applyFill="1" applyAlignment="1">
      <alignment horizontal="center" vertical="center"/>
    </xf>
    <xf numFmtId="0" fontId="19" fillId="0" borderId="0" xfId="0" applyFont="1" applyAlignment="1">
      <alignment horizontal="left" vertical="center"/>
    </xf>
    <xf numFmtId="172" fontId="32" fillId="0" borderId="0" xfId="0" applyNumberFormat="1" applyFont="1" applyAlignment="1">
      <alignment horizontal="center" vertical="center"/>
    </xf>
    <xf numFmtId="0" fontId="33" fillId="2" borderId="0" xfId="0" applyFont="1" applyFill="1" applyAlignment="1">
      <alignment horizontal="left" vertical="center"/>
    </xf>
    <xf numFmtId="172" fontId="32" fillId="2" borderId="0" xfId="0" applyNumberFormat="1" applyFont="1" applyFill="1" applyAlignment="1">
      <alignment horizontal="center" vertical="center"/>
    </xf>
    <xf numFmtId="172" fontId="7" fillId="8" borderId="0" xfId="0" applyNumberFormat="1" applyFont="1" applyFill="1" applyAlignment="1">
      <alignment horizontal="center" vertical="center"/>
    </xf>
    <xf numFmtId="172" fontId="7" fillId="0" borderId="0" xfId="0" applyNumberFormat="1" applyFont="1" applyAlignment="1">
      <alignment horizontal="center" vertical="center"/>
    </xf>
    <xf numFmtId="0" fontId="21" fillId="6" borderId="0" xfId="0" applyFont="1" applyFill="1" applyAlignment="1">
      <alignment horizontal="center"/>
    </xf>
    <xf numFmtId="0" fontId="30" fillId="5" borderId="0" xfId="0" applyFont="1" applyFill="1" applyAlignment="1">
      <alignment horizontal="center" vertical="center" wrapText="1"/>
    </xf>
    <xf numFmtId="0" fontId="21" fillId="2" borderId="0" xfId="0" applyFont="1" applyFill="1" applyAlignment="1">
      <alignment horizontal="left" vertical="center"/>
    </xf>
    <xf numFmtId="164" fontId="35" fillId="2" borderId="0" xfId="0" applyNumberFormat="1" applyFont="1" applyFill="1" applyAlignment="1">
      <alignment horizontal="center" vertical="center"/>
    </xf>
    <xf numFmtId="167" fontId="35"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169" fontId="32" fillId="2" borderId="0" xfId="0" applyNumberFormat="1" applyFont="1" applyFill="1" applyAlignment="1">
      <alignment horizontal="center" vertical="center"/>
    </xf>
    <xf numFmtId="166" fontId="32" fillId="2" borderId="0" xfId="0" applyNumberFormat="1" applyFont="1" applyFill="1" applyAlignment="1">
      <alignment horizontal="center" vertical="center"/>
    </xf>
    <xf numFmtId="0" fontId="7" fillId="6" borderId="0" xfId="0" applyFont="1" applyFill="1" applyAlignment="1">
      <alignment horizontal="left" vertical="center"/>
    </xf>
    <xf numFmtId="0" fontId="21" fillId="6" borderId="0" xfId="0" applyFont="1" applyFill="1" applyAlignment="1">
      <alignment horizontal="left" vertical="center"/>
    </xf>
    <xf numFmtId="164" fontId="35" fillId="6" borderId="0" xfId="0" applyNumberFormat="1" applyFont="1" applyFill="1" applyAlignment="1">
      <alignment horizontal="center" vertical="center"/>
    </xf>
    <xf numFmtId="167" fontId="35" fillId="6" borderId="0" xfId="0" applyNumberFormat="1" applyFont="1" applyFill="1" applyAlignment="1">
      <alignment horizontal="center" vertical="center"/>
    </xf>
    <xf numFmtId="165" fontId="7" fillId="6" borderId="0" xfId="0" applyNumberFormat="1" applyFont="1" applyFill="1" applyAlignment="1">
      <alignment horizontal="center" vertical="center"/>
    </xf>
    <xf numFmtId="169" fontId="7" fillId="6" borderId="0" xfId="0" applyNumberFormat="1" applyFont="1" applyFill="1" applyAlignment="1">
      <alignment horizontal="center" vertical="center"/>
    </xf>
    <xf numFmtId="172" fontId="7" fillId="6" borderId="0" xfId="0" applyNumberFormat="1" applyFont="1" applyFill="1" applyAlignment="1">
      <alignment horizontal="center" vertical="center"/>
    </xf>
    <xf numFmtId="166" fontId="7" fillId="6" borderId="0" xfId="0" applyNumberFormat="1" applyFont="1" applyFill="1" applyAlignment="1">
      <alignment horizontal="center" vertical="center"/>
    </xf>
    <xf numFmtId="164" fontId="35" fillId="0" borderId="0" xfId="0" applyNumberFormat="1" applyFont="1" applyAlignment="1">
      <alignment horizontal="center" vertical="center"/>
    </xf>
    <xf numFmtId="167" fontId="35" fillId="0" borderId="0" xfId="0" applyNumberFormat="1" applyFont="1" applyAlignment="1">
      <alignment horizontal="center" vertical="center"/>
    </xf>
    <xf numFmtId="165" fontId="7" fillId="0" borderId="0" xfId="0" applyNumberFormat="1" applyFont="1" applyAlignment="1">
      <alignment horizontal="center" vertical="center"/>
    </xf>
    <xf numFmtId="169" fontId="7" fillId="0" borderId="0" xfId="0" applyNumberFormat="1" applyFont="1" applyAlignment="1">
      <alignment horizontal="center" vertical="center"/>
    </xf>
    <xf numFmtId="166" fontId="7" fillId="0" borderId="0" xfId="0" applyNumberFormat="1" applyFont="1" applyAlignment="1">
      <alignment horizontal="center" vertical="center"/>
    </xf>
    <xf numFmtId="172" fontId="7" fillId="4" borderId="0" xfId="0" applyNumberFormat="1" applyFont="1" applyFill="1" applyAlignment="1">
      <alignment horizontal="center" vertical="center"/>
    </xf>
    <xf numFmtId="0" fontId="36" fillId="0" borderId="0" xfId="0" applyFont="1"/>
    <xf numFmtId="0" fontId="29" fillId="5" borderId="0" xfId="0" applyFont="1" applyFill="1" applyAlignment="1">
      <alignment horizontal="center"/>
    </xf>
    <xf numFmtId="0" fontId="12" fillId="0" borderId="0" xfId="0" applyFont="1" applyAlignment="1">
      <alignment horizontal="left" vertical="top"/>
    </xf>
    <xf numFmtId="0" fontId="19" fillId="0" borderId="0" xfId="0" applyFont="1"/>
    <xf numFmtId="0" fontId="21" fillId="0" borderId="0" xfId="0" applyFont="1" applyAlignment="1">
      <alignment horizontal="left" vertical="top" wrapText="1"/>
    </xf>
    <xf numFmtId="0" fontId="9" fillId="0" borderId="0" xfId="0" applyFont="1"/>
    <xf numFmtId="0" fontId="9" fillId="0" borderId="0" xfId="0" applyFont="1" applyAlignment="1">
      <alignment horizontal="left" vertical="top" wrapText="1"/>
    </xf>
    <xf numFmtId="0" fontId="11" fillId="0" borderId="0" xfId="0" applyFont="1" applyAlignment="1">
      <alignment horizontal="left"/>
    </xf>
    <xf numFmtId="0" fontId="21" fillId="0" borderId="0" xfId="0" applyFont="1"/>
    <xf numFmtId="0" fontId="19" fillId="0" borderId="0" xfId="0" applyFont="1" applyAlignment="1">
      <alignment horizontal="left" vertical="top" wrapText="1"/>
    </xf>
    <xf numFmtId="0" fontId="12" fillId="0" borderId="0" xfId="0" applyFont="1" applyAlignment="1">
      <alignment horizontal="left" vertical="center"/>
    </xf>
    <xf numFmtId="0" fontId="21" fillId="0" borderId="0" xfId="0" applyFont="1" applyAlignment="1">
      <alignment horizontal="left"/>
    </xf>
    <xf numFmtId="0" fontId="22" fillId="5" borderId="0" xfId="0" applyFont="1" applyFill="1" applyAlignment="1">
      <alignment horizontal="left" vertical="center" indent="1"/>
    </xf>
    <xf numFmtId="0" fontId="21" fillId="0" borderId="0" xfId="0" applyFont="1" applyAlignment="1">
      <alignment horizontal="left" vertical="center"/>
    </xf>
    <xf numFmtId="0" fontId="34" fillId="0" borderId="0" xfId="0" applyFont="1" applyAlignment="1">
      <alignment horizontal="left" vertical="center"/>
    </xf>
    <xf numFmtId="0" fontId="7" fillId="0" borderId="0" xfId="0" applyFont="1" applyAlignment="1">
      <alignment horizontal="left" vertical="top" wrapText="1"/>
    </xf>
    <xf numFmtId="0" fontId="8"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CE4D6"/>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E2EFDA"/>
      <rgbColor rgb="FFFFE699"/>
      <rgbColor rgb="FF99CCFF"/>
      <rgbColor rgb="FFFF99CC"/>
      <rgbColor rgb="FFCC99FF"/>
      <rgbColor rgb="FFFCE4E4"/>
      <rgbColor rgb="FF3366FF"/>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1F4E7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sheetPr>
  <dimension ref="B2:H36"/>
  <sheetViews>
    <sheetView showGridLines="0" tabSelected="1" topLeftCell="A6" zoomScaleNormal="100" workbookViewId="0">
      <selection activeCell="I11" sqref="I11"/>
    </sheetView>
  </sheetViews>
  <sheetFormatPr defaultColWidth="8.7109375" defaultRowHeight="15" x14ac:dyDescent="0.25"/>
  <cols>
    <col min="1" max="1" width="2" customWidth="1"/>
    <col min="2" max="2" width="28" customWidth="1"/>
    <col min="3" max="4" width="18" customWidth="1"/>
    <col min="5" max="8" width="28" customWidth="1"/>
  </cols>
  <sheetData>
    <row r="2" spans="2:8" ht="21.75" customHeight="1" x14ac:dyDescent="0.35">
      <c r="B2" s="7" t="s">
        <v>0</v>
      </c>
      <c r="E2" s="8" t="s">
        <v>1</v>
      </c>
    </row>
    <row r="3" spans="2:8" ht="15" customHeight="1" x14ac:dyDescent="0.25">
      <c r="B3" s="9" t="s">
        <v>2</v>
      </c>
      <c r="E3" s="10" t="s">
        <v>3</v>
      </c>
    </row>
    <row r="4" spans="2:8" ht="15" customHeight="1" x14ac:dyDescent="0.25">
      <c r="B4" s="11" t="s">
        <v>669</v>
      </c>
      <c r="E4" s="12" t="s">
        <v>4</v>
      </c>
    </row>
    <row r="5" spans="2:8" ht="15" customHeight="1" x14ac:dyDescent="0.25">
      <c r="E5" s="13" t="s">
        <v>5</v>
      </c>
    </row>
    <row r="6" spans="2:8" ht="15" customHeight="1" x14ac:dyDescent="0.25">
      <c r="E6" s="14" t="s">
        <v>6</v>
      </c>
    </row>
    <row r="7" spans="2:8" ht="15" customHeight="1" x14ac:dyDescent="0.25">
      <c r="B7" s="1" t="s">
        <v>7</v>
      </c>
      <c r="E7" s="15" t="s">
        <v>8</v>
      </c>
    </row>
    <row r="8" spans="2:8" ht="90" customHeight="1" x14ac:dyDescent="0.25">
      <c r="B8" s="194" t="s">
        <v>9</v>
      </c>
      <c r="C8" s="194"/>
      <c r="D8" s="194"/>
      <c r="E8" s="194"/>
      <c r="F8" s="194"/>
      <c r="G8" s="194"/>
      <c r="H8" s="194"/>
    </row>
    <row r="9" spans="2:8" ht="15" customHeight="1" x14ac:dyDescent="0.25">
      <c r="E9" s="16" t="s">
        <v>10</v>
      </c>
    </row>
    <row r="11" spans="2:8" ht="15" customHeight="1" x14ac:dyDescent="0.25">
      <c r="B11" s="1" t="s">
        <v>11</v>
      </c>
    </row>
    <row r="12" spans="2:8" ht="15" customHeight="1" x14ac:dyDescent="0.25">
      <c r="B12" s="6" t="s">
        <v>12</v>
      </c>
      <c r="C12" s="17" t="s">
        <v>13</v>
      </c>
    </row>
    <row r="13" spans="2:8" ht="15" customHeight="1" x14ac:dyDescent="0.25">
      <c r="B13" s="6" t="s">
        <v>14</v>
      </c>
      <c r="C13" s="18">
        <v>8.7100000000000009</v>
      </c>
    </row>
    <row r="14" spans="2:8" ht="15" customHeight="1" x14ac:dyDescent="0.25">
      <c r="B14" s="6" t="s">
        <v>15</v>
      </c>
      <c r="C14" s="18">
        <v>96.206999999999994</v>
      </c>
    </row>
    <row r="15" spans="2:8" ht="15" customHeight="1" x14ac:dyDescent="0.25">
      <c r="B15" s="6" t="s">
        <v>16</v>
      </c>
      <c r="C15" s="19">
        <v>838.13716999999997</v>
      </c>
    </row>
    <row r="16" spans="2:8" ht="15" customHeight="1" x14ac:dyDescent="0.25">
      <c r="B16" s="6" t="s">
        <v>17</v>
      </c>
      <c r="C16" s="19">
        <v>57.164999999999999</v>
      </c>
    </row>
    <row r="17" spans="2:8" ht="15" customHeight="1" x14ac:dyDescent="0.25">
      <c r="B17" s="6" t="s">
        <v>18</v>
      </c>
      <c r="C17" s="19">
        <v>895.30217000000005</v>
      </c>
    </row>
    <row r="18" spans="2:8" ht="15" customHeight="1" x14ac:dyDescent="0.25">
      <c r="B18" s="6" t="s">
        <v>19</v>
      </c>
      <c r="C18" s="19">
        <v>2663.5633600000001</v>
      </c>
    </row>
    <row r="19" spans="2:8" ht="15" customHeight="1" x14ac:dyDescent="0.25">
      <c r="B19" s="6" t="s">
        <v>20</v>
      </c>
      <c r="C19" s="18">
        <v>27.68</v>
      </c>
    </row>
    <row r="20" spans="2:8" ht="15" customHeight="1" x14ac:dyDescent="0.25">
      <c r="B20" s="6"/>
      <c r="C20" s="20"/>
    </row>
    <row r="21" spans="2:8" ht="15" customHeight="1" x14ac:dyDescent="0.25">
      <c r="B21" s="6"/>
      <c r="C21" s="21"/>
    </row>
    <row r="22" spans="2:8" ht="15" customHeight="1" x14ac:dyDescent="0.25">
      <c r="B22" s="6"/>
      <c r="C22" s="22"/>
    </row>
    <row r="23" spans="2:8" ht="15" customHeight="1" x14ac:dyDescent="0.25">
      <c r="B23" s="6"/>
      <c r="C23" s="23"/>
    </row>
    <row r="26" spans="2:8" ht="15" customHeight="1" x14ac:dyDescent="0.25">
      <c r="B26" s="1"/>
    </row>
    <row r="27" spans="2:8" ht="15" customHeight="1" x14ac:dyDescent="0.25">
      <c r="B27" s="1" t="s">
        <v>21</v>
      </c>
      <c r="C27" s="193"/>
      <c r="D27" s="193"/>
      <c r="E27" s="193"/>
      <c r="F27" s="193"/>
      <c r="G27" s="193"/>
      <c r="H27" s="193"/>
    </row>
    <row r="28" spans="2:8" ht="15" customHeight="1" x14ac:dyDescent="0.25">
      <c r="B28" s="24" t="s">
        <v>22</v>
      </c>
      <c r="C28" s="193" t="s">
        <v>23</v>
      </c>
      <c r="D28" s="193"/>
      <c r="E28" s="193"/>
      <c r="F28" s="193"/>
      <c r="G28" s="193"/>
      <c r="H28" s="193"/>
    </row>
    <row r="29" spans="2:8" ht="15" customHeight="1" x14ac:dyDescent="0.25">
      <c r="B29" s="24" t="s">
        <v>24</v>
      </c>
      <c r="C29" s="193" t="s">
        <v>25</v>
      </c>
      <c r="D29" s="193"/>
      <c r="E29" s="193"/>
      <c r="F29" s="193"/>
      <c r="G29" s="193"/>
      <c r="H29" s="193"/>
    </row>
    <row r="30" spans="2:8" ht="15" customHeight="1" x14ac:dyDescent="0.25">
      <c r="B30" s="24" t="s">
        <v>26</v>
      </c>
      <c r="C30" s="193" t="s">
        <v>27</v>
      </c>
      <c r="D30" s="193"/>
      <c r="E30" s="193"/>
      <c r="F30" s="193"/>
      <c r="G30" s="193"/>
      <c r="H30" s="193"/>
    </row>
    <row r="31" spans="2:8" ht="15" customHeight="1" x14ac:dyDescent="0.25">
      <c r="B31" s="24" t="s">
        <v>28</v>
      </c>
      <c r="C31" s="193" t="s">
        <v>29</v>
      </c>
      <c r="D31" s="193"/>
      <c r="E31" s="193"/>
      <c r="F31" s="193"/>
      <c r="G31" s="193"/>
      <c r="H31" s="193"/>
    </row>
    <row r="32" spans="2:8" ht="15" customHeight="1" x14ac:dyDescent="0.25">
      <c r="B32" s="24" t="s">
        <v>30</v>
      </c>
      <c r="C32" s="193" t="s">
        <v>31</v>
      </c>
      <c r="D32" s="193"/>
      <c r="E32" s="193"/>
      <c r="F32" s="193"/>
      <c r="G32" s="193"/>
      <c r="H32" s="193"/>
    </row>
    <row r="33" spans="2:8" ht="15" customHeight="1" x14ac:dyDescent="0.25">
      <c r="B33" s="24" t="s">
        <v>32</v>
      </c>
      <c r="C33" s="193" t="s">
        <v>33</v>
      </c>
      <c r="D33" s="193"/>
      <c r="E33" s="193"/>
      <c r="F33" s="193"/>
      <c r="G33" s="193"/>
      <c r="H33" s="193"/>
    </row>
    <row r="34" spans="2:8" ht="15" customHeight="1" x14ac:dyDescent="0.25">
      <c r="B34" s="24" t="s">
        <v>34</v>
      </c>
      <c r="C34" s="193" t="s">
        <v>35</v>
      </c>
      <c r="D34" s="193"/>
      <c r="E34" s="193"/>
      <c r="F34" s="193"/>
      <c r="G34" s="193"/>
      <c r="H34" s="193"/>
    </row>
    <row r="35" spans="2:8" ht="15" customHeight="1" x14ac:dyDescent="0.25">
      <c r="B35" s="24" t="s">
        <v>36</v>
      </c>
      <c r="C35" s="193" t="s">
        <v>37</v>
      </c>
      <c r="D35" s="193"/>
      <c r="E35" s="193"/>
      <c r="F35" s="193"/>
      <c r="G35" s="193"/>
      <c r="H35" s="193"/>
    </row>
    <row r="36" spans="2:8" ht="15" customHeight="1" x14ac:dyDescent="0.25">
      <c r="B36" s="24" t="s">
        <v>38</v>
      </c>
      <c r="C36" s="193" t="s">
        <v>39</v>
      </c>
      <c r="D36" s="193"/>
      <c r="E36" s="193"/>
      <c r="F36" s="193"/>
      <c r="G36" s="193"/>
      <c r="H36" s="193"/>
    </row>
  </sheetData>
  <mergeCells count="11">
    <mergeCell ref="B8:H8"/>
    <mergeCell ref="C27:H27"/>
    <mergeCell ref="C28:H28"/>
    <mergeCell ref="C29:H29"/>
    <mergeCell ref="C30:H30"/>
    <mergeCell ref="C36:H36"/>
    <mergeCell ref="C31:H31"/>
    <mergeCell ref="C32:H32"/>
    <mergeCell ref="C33:H33"/>
    <mergeCell ref="C34:H34"/>
    <mergeCell ref="C35:H35"/>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17"/>
  <sheetViews>
    <sheetView showGridLines="0" zoomScaleNormal="100" workbookViewId="0">
      <pane xSplit="2" ySplit="4" topLeftCell="C80" activePane="bottomRight" state="frozen"/>
      <selection pane="topRight" activeCell="C1" sqref="C1"/>
      <selection pane="bottomLeft" activeCell="A5" sqref="A5"/>
      <selection pane="bottomRight" activeCell="B91" sqref="B91"/>
    </sheetView>
  </sheetViews>
  <sheetFormatPr defaultColWidth="8.7109375" defaultRowHeight="15" x14ac:dyDescent="0.25"/>
  <cols>
    <col min="1" max="1" width="2" customWidth="1"/>
    <col min="2" max="2" width="88.5703125" bestFit="1" customWidth="1"/>
    <col min="3" max="17" width="10" customWidth="1"/>
  </cols>
  <sheetData>
    <row r="1" spans="1:13" ht="15" customHeight="1" x14ac:dyDescent="0.25">
      <c r="A1" s="25" t="s">
        <v>1</v>
      </c>
    </row>
    <row r="2" spans="1:13" ht="17.25" customHeight="1" x14ac:dyDescent="0.25">
      <c r="A2" s="26" t="s">
        <v>40</v>
      </c>
      <c r="B2" s="27" t="s">
        <v>445</v>
      </c>
      <c r="C2" s="144" t="s">
        <v>446</v>
      </c>
      <c r="D2" s="30" t="s">
        <v>447</v>
      </c>
    </row>
    <row r="3" spans="1:13" ht="15" customHeight="1" x14ac:dyDescent="0.25">
      <c r="B3" s="191" t="s">
        <v>448</v>
      </c>
      <c r="C3" s="191"/>
      <c r="D3" s="191"/>
      <c r="E3" s="191"/>
      <c r="F3" s="191"/>
      <c r="G3" s="191"/>
      <c r="H3" s="191"/>
      <c r="I3" s="191"/>
      <c r="J3" s="191"/>
      <c r="K3" s="191"/>
      <c r="L3" s="191"/>
      <c r="M3" s="191"/>
    </row>
    <row r="5" spans="1:13" ht="21.75" customHeight="1" x14ac:dyDescent="0.25">
      <c r="B5" s="2" t="s">
        <v>449</v>
      </c>
      <c r="C5" s="43"/>
      <c r="D5" s="43"/>
      <c r="E5" s="43"/>
      <c r="F5" s="43"/>
      <c r="G5" s="43"/>
      <c r="H5" s="43"/>
      <c r="I5" s="43"/>
      <c r="J5" s="43"/>
      <c r="K5" s="43"/>
      <c r="L5" s="43"/>
    </row>
    <row r="6" spans="1:13" ht="15" customHeight="1" x14ac:dyDescent="0.25">
      <c r="B6" s="201" t="s">
        <v>450</v>
      </c>
      <c r="C6" s="201"/>
      <c r="D6" s="201"/>
      <c r="E6" s="201"/>
      <c r="F6" s="201"/>
      <c r="G6" s="201"/>
      <c r="H6" s="201"/>
      <c r="I6" s="201"/>
      <c r="J6" s="201"/>
      <c r="K6" s="201"/>
      <c r="L6" s="201"/>
    </row>
    <row r="8" spans="1:13" ht="15" customHeight="1" x14ac:dyDescent="0.25">
      <c r="B8" s="4"/>
      <c r="C8" s="37">
        <v>2015</v>
      </c>
      <c r="D8" s="37">
        <v>2017</v>
      </c>
      <c r="E8" s="37">
        <v>2018</v>
      </c>
      <c r="F8" s="37">
        <v>2019</v>
      </c>
      <c r="G8" s="37">
        <v>2020</v>
      </c>
      <c r="H8" s="37">
        <v>2021</v>
      </c>
      <c r="I8" s="37">
        <v>2022</v>
      </c>
      <c r="J8" s="37">
        <v>2023</v>
      </c>
      <c r="K8" s="37">
        <v>2024</v>
      </c>
      <c r="L8" s="37">
        <v>2025</v>
      </c>
    </row>
    <row r="10" spans="1:13" ht="15" customHeight="1" x14ac:dyDescent="0.25">
      <c r="B10" s="24" t="s">
        <v>451</v>
      </c>
    </row>
    <row r="11" spans="1:13" ht="15" customHeight="1" x14ac:dyDescent="0.25">
      <c r="B11" s="58" t="s">
        <v>452</v>
      </c>
      <c r="C11" s="136" t="s">
        <v>396</v>
      </c>
      <c r="D11" s="136" t="s">
        <v>396</v>
      </c>
      <c r="E11" s="136" t="s">
        <v>396</v>
      </c>
      <c r="F11" s="136" t="s">
        <v>396</v>
      </c>
      <c r="G11" s="136" t="s">
        <v>396</v>
      </c>
      <c r="H11" s="145">
        <v>3450</v>
      </c>
      <c r="I11" s="146">
        <v>3635</v>
      </c>
      <c r="J11" s="146">
        <v>2993</v>
      </c>
      <c r="K11" s="146">
        <v>2756</v>
      </c>
      <c r="L11" s="146">
        <v>2796</v>
      </c>
    </row>
    <row r="12" spans="1:13" ht="15" customHeight="1" x14ac:dyDescent="0.25">
      <c r="B12" s="64" t="s">
        <v>453</v>
      </c>
      <c r="C12" s="136" t="s">
        <v>396</v>
      </c>
      <c r="D12" s="136" t="s">
        <v>396</v>
      </c>
      <c r="E12" s="136" t="s">
        <v>396</v>
      </c>
      <c r="F12" s="136" t="s">
        <v>396</v>
      </c>
      <c r="G12" s="136" t="s">
        <v>396</v>
      </c>
      <c r="H12" s="139">
        <v>39.189</v>
      </c>
      <c r="I12" s="139">
        <v>80.2</v>
      </c>
      <c r="J12" s="139">
        <v>80.2</v>
      </c>
      <c r="K12" s="139">
        <v>80.2</v>
      </c>
      <c r="L12" s="139">
        <v>80.2</v>
      </c>
    </row>
    <row r="13" spans="1:13" ht="15" customHeight="1" x14ac:dyDescent="0.25">
      <c r="B13" s="58" t="s">
        <v>454</v>
      </c>
      <c r="C13" s="136" t="s">
        <v>396</v>
      </c>
      <c r="D13" s="136" t="s">
        <v>396</v>
      </c>
      <c r="E13" s="136" t="s">
        <v>396</v>
      </c>
      <c r="F13" s="136" t="s">
        <v>396</v>
      </c>
      <c r="G13" s="136" t="s">
        <v>396</v>
      </c>
      <c r="H13" s="147">
        <f>H11/H12*1000</f>
        <v>88034.907754727086</v>
      </c>
      <c r="I13" s="147">
        <f>I11/I12*1000</f>
        <v>45324.189526184542</v>
      </c>
      <c r="J13" s="147">
        <f>J11/J12*1000</f>
        <v>37319.201995012467</v>
      </c>
      <c r="K13" s="147">
        <f>K11/K12*1000</f>
        <v>34364.0897755611</v>
      </c>
      <c r="L13" s="147">
        <f>L11/L12*1000</f>
        <v>34862.84289276808</v>
      </c>
    </row>
    <row r="14" spans="1:13" ht="15" customHeight="1" x14ac:dyDescent="0.25">
      <c r="B14" s="64" t="s">
        <v>387</v>
      </c>
      <c r="C14" s="136" t="s">
        <v>388</v>
      </c>
      <c r="D14" s="136" t="s">
        <v>388</v>
      </c>
      <c r="E14" s="136" t="s">
        <v>388</v>
      </c>
      <c r="F14" s="136" t="s">
        <v>388</v>
      </c>
      <c r="G14" s="136" t="s">
        <v>388</v>
      </c>
      <c r="H14" s="136" t="s">
        <v>388</v>
      </c>
      <c r="I14" s="137">
        <f>I11/H11-1</f>
        <v>5.3623188405797162E-2</v>
      </c>
      <c r="J14" s="137">
        <f>J11/I11-1</f>
        <v>-0.17661623108665747</v>
      </c>
      <c r="K14" s="137">
        <f>K11/J11-1</f>
        <v>-7.9184764450384248E-2</v>
      </c>
      <c r="L14" s="137">
        <f>L11/K11-1</f>
        <v>1.4513788098693858E-2</v>
      </c>
    </row>
    <row r="16" spans="1:13" ht="15" customHeight="1" x14ac:dyDescent="0.25">
      <c r="B16" s="24" t="s">
        <v>455</v>
      </c>
    </row>
    <row r="17" spans="2:12" ht="15" customHeight="1" x14ac:dyDescent="0.25">
      <c r="B17" s="58" t="s">
        <v>456</v>
      </c>
      <c r="C17" s="148">
        <v>15</v>
      </c>
      <c r="D17" s="148">
        <v>18</v>
      </c>
      <c r="E17" s="60">
        <v>22</v>
      </c>
      <c r="F17" s="148">
        <v>20</v>
      </c>
      <c r="G17" s="148">
        <v>22</v>
      </c>
      <c r="H17" s="148">
        <v>24</v>
      </c>
      <c r="I17" s="148">
        <v>26</v>
      </c>
      <c r="J17" s="148">
        <v>26.5</v>
      </c>
      <c r="K17" s="60">
        <v>28.5</v>
      </c>
      <c r="L17" s="60">
        <v>31.9</v>
      </c>
    </row>
    <row r="18" spans="2:12" ht="15" customHeight="1" x14ac:dyDescent="0.25">
      <c r="B18" s="44" t="s">
        <v>457</v>
      </c>
      <c r="C18" s="149">
        <f t="shared" ref="C18:L18" si="0">C17/$C$17*100</f>
        <v>100</v>
      </c>
      <c r="D18" s="149">
        <f t="shared" si="0"/>
        <v>120</v>
      </c>
      <c r="E18" s="149">
        <f t="shared" si="0"/>
        <v>146.66666666666666</v>
      </c>
      <c r="F18" s="149">
        <f t="shared" si="0"/>
        <v>133.33333333333331</v>
      </c>
      <c r="G18" s="149">
        <f t="shared" si="0"/>
        <v>146.66666666666666</v>
      </c>
      <c r="H18" s="149">
        <f t="shared" si="0"/>
        <v>160</v>
      </c>
      <c r="I18" s="149">
        <f t="shared" si="0"/>
        <v>173.33333333333334</v>
      </c>
      <c r="J18" s="149">
        <f t="shared" si="0"/>
        <v>176.66666666666666</v>
      </c>
      <c r="K18" s="149">
        <f t="shared" si="0"/>
        <v>190</v>
      </c>
      <c r="L18" s="149">
        <f t="shared" si="0"/>
        <v>212.66666666666666</v>
      </c>
    </row>
    <row r="19" spans="2:12" ht="15" customHeight="1" x14ac:dyDescent="0.25">
      <c r="B19" s="64" t="s">
        <v>387</v>
      </c>
      <c r="C19" s="136" t="s">
        <v>388</v>
      </c>
      <c r="D19" s="137">
        <f t="shared" ref="D19:L19" si="1">D17/C17-1</f>
        <v>0.19999999999999996</v>
      </c>
      <c r="E19" s="137">
        <f t="shared" si="1"/>
        <v>0.22222222222222232</v>
      </c>
      <c r="F19" s="137">
        <f t="shared" si="1"/>
        <v>-9.0909090909090939E-2</v>
      </c>
      <c r="G19" s="137">
        <f t="shared" si="1"/>
        <v>0.10000000000000009</v>
      </c>
      <c r="H19" s="137">
        <f t="shared" si="1"/>
        <v>9.0909090909090828E-2</v>
      </c>
      <c r="I19" s="137">
        <f t="shared" si="1"/>
        <v>8.3333333333333259E-2</v>
      </c>
      <c r="J19" s="137">
        <f t="shared" si="1"/>
        <v>1.9230769230769162E-2</v>
      </c>
      <c r="K19" s="137">
        <f t="shared" si="1"/>
        <v>7.547169811320753E-2</v>
      </c>
      <c r="L19" s="137">
        <f t="shared" si="1"/>
        <v>0.11929824561403501</v>
      </c>
    </row>
    <row r="21" spans="2:12" ht="15" customHeight="1" x14ac:dyDescent="0.25">
      <c r="B21" s="24" t="s">
        <v>458</v>
      </c>
    </row>
    <row r="22" spans="2:12" ht="15" customHeight="1" x14ac:dyDescent="0.25">
      <c r="B22" s="58" t="s">
        <v>459</v>
      </c>
      <c r="C22" s="146">
        <v>11000</v>
      </c>
      <c r="D22" s="146">
        <v>11559</v>
      </c>
      <c r="E22" s="146">
        <v>10275</v>
      </c>
      <c r="F22" s="136" t="s">
        <v>396</v>
      </c>
      <c r="G22" s="136" t="s">
        <v>396</v>
      </c>
      <c r="H22" s="136" t="s">
        <v>396</v>
      </c>
      <c r="I22" s="136" t="s">
        <v>396</v>
      </c>
      <c r="J22" s="136" t="s">
        <v>396</v>
      </c>
      <c r="K22" s="136" t="s">
        <v>396</v>
      </c>
      <c r="L22" s="146">
        <v>16750</v>
      </c>
    </row>
    <row r="24" spans="2:12" ht="15" customHeight="1" x14ac:dyDescent="0.25">
      <c r="B24" s="24" t="s">
        <v>460</v>
      </c>
    </row>
    <row r="25" spans="2:12" ht="15" customHeight="1" x14ac:dyDescent="0.25">
      <c r="B25" s="64" t="s">
        <v>461</v>
      </c>
      <c r="C25" s="136" t="s">
        <v>388</v>
      </c>
      <c r="D25" s="136" t="s">
        <v>388</v>
      </c>
      <c r="E25" s="136" t="s">
        <v>388</v>
      </c>
      <c r="F25" s="136" t="s">
        <v>388</v>
      </c>
      <c r="G25" s="150">
        <v>21940</v>
      </c>
      <c r="H25" s="136" t="s">
        <v>388</v>
      </c>
      <c r="I25" s="136" t="s">
        <v>388</v>
      </c>
      <c r="J25" s="136" t="s">
        <v>388</v>
      </c>
      <c r="K25" s="136" t="s">
        <v>388</v>
      </c>
      <c r="L25" s="136" t="s">
        <v>388</v>
      </c>
    </row>
    <row r="26" spans="2:12" ht="15" customHeight="1" x14ac:dyDescent="0.25">
      <c r="B26" s="64" t="s">
        <v>462</v>
      </c>
      <c r="C26" s="136" t="s">
        <v>388</v>
      </c>
      <c r="D26" s="136" t="s">
        <v>388</v>
      </c>
      <c r="E26" s="136" t="s">
        <v>388</v>
      </c>
      <c r="F26" s="136" t="s">
        <v>388</v>
      </c>
      <c r="G26" s="150">
        <v>23760</v>
      </c>
      <c r="H26" s="136" t="s">
        <v>388</v>
      </c>
      <c r="I26" s="136" t="s">
        <v>388</v>
      </c>
      <c r="J26" s="136" t="s">
        <v>388</v>
      </c>
      <c r="K26" s="136" t="s">
        <v>388</v>
      </c>
      <c r="L26" s="136" t="s">
        <v>388</v>
      </c>
    </row>
    <row r="27" spans="2:12" ht="15" customHeight="1" x14ac:dyDescent="0.25">
      <c r="B27" s="64" t="s">
        <v>463</v>
      </c>
      <c r="C27" s="136" t="s">
        <v>388</v>
      </c>
      <c r="D27" s="136" t="s">
        <v>388</v>
      </c>
      <c r="E27" s="136" t="s">
        <v>388</v>
      </c>
      <c r="F27" s="136" t="s">
        <v>388</v>
      </c>
      <c r="G27" s="150">
        <v>28470</v>
      </c>
      <c r="H27" s="150">
        <v>41144</v>
      </c>
      <c r="I27" s="136" t="s">
        <v>388</v>
      </c>
      <c r="J27" s="136" t="s">
        <v>388</v>
      </c>
      <c r="K27" s="136" t="s">
        <v>388</v>
      </c>
      <c r="L27" s="136" t="s">
        <v>388</v>
      </c>
    </row>
    <row r="29" spans="2:12" ht="15" customHeight="1" x14ac:dyDescent="0.25">
      <c r="B29" s="24" t="s">
        <v>464</v>
      </c>
    </row>
    <row r="30" spans="2:12" ht="15" customHeight="1" x14ac:dyDescent="0.25">
      <c r="B30" s="44" t="s">
        <v>465</v>
      </c>
      <c r="C30" s="151" t="s">
        <v>466</v>
      </c>
      <c r="D30" s="199" t="s">
        <v>467</v>
      </c>
      <c r="E30" s="199"/>
      <c r="F30" s="199"/>
      <c r="G30" s="199"/>
      <c r="H30" s="199"/>
      <c r="I30" s="199"/>
      <c r="J30" s="199"/>
      <c r="K30" s="199"/>
      <c r="L30" s="199"/>
    </row>
    <row r="31" spans="2:12" ht="15" customHeight="1" x14ac:dyDescent="0.25">
      <c r="B31" s="44" t="s">
        <v>468</v>
      </c>
      <c r="C31" s="151" t="s">
        <v>469</v>
      </c>
      <c r="D31" s="199" t="s">
        <v>470</v>
      </c>
      <c r="E31" s="199"/>
      <c r="F31" s="199"/>
      <c r="G31" s="199"/>
      <c r="H31" s="199"/>
      <c r="I31" s="199"/>
      <c r="J31" s="199"/>
      <c r="K31" s="199"/>
      <c r="L31" s="199"/>
    </row>
    <row r="32" spans="2:12" ht="15" customHeight="1" x14ac:dyDescent="0.25">
      <c r="B32" s="44" t="s">
        <v>471</v>
      </c>
      <c r="C32" s="151" t="s">
        <v>472</v>
      </c>
      <c r="D32" s="199" t="s">
        <v>473</v>
      </c>
      <c r="E32" s="199"/>
      <c r="F32" s="199"/>
      <c r="G32" s="199"/>
      <c r="H32" s="199"/>
      <c r="I32" s="199"/>
      <c r="J32" s="199"/>
      <c r="K32" s="199"/>
      <c r="L32" s="199"/>
    </row>
    <row r="33" spans="2:12" ht="15" customHeight="1" x14ac:dyDescent="0.25">
      <c r="B33" s="44" t="s">
        <v>474</v>
      </c>
      <c r="C33" s="151" t="s">
        <v>475</v>
      </c>
      <c r="D33" s="199" t="s">
        <v>476</v>
      </c>
      <c r="E33" s="199"/>
      <c r="F33" s="199"/>
      <c r="G33" s="199"/>
      <c r="H33" s="199"/>
      <c r="I33" s="199"/>
      <c r="J33" s="199"/>
      <c r="K33" s="199"/>
      <c r="L33" s="199"/>
    </row>
    <row r="34" spans="2:12" ht="15" customHeight="1" x14ac:dyDescent="0.25">
      <c r="B34" s="44" t="s">
        <v>477</v>
      </c>
      <c r="C34" s="151" t="s">
        <v>478</v>
      </c>
      <c r="D34" s="199" t="s">
        <v>479</v>
      </c>
      <c r="E34" s="199"/>
      <c r="F34" s="199"/>
      <c r="G34" s="199"/>
      <c r="H34" s="199"/>
      <c r="I34" s="199"/>
      <c r="J34" s="199"/>
      <c r="K34" s="199"/>
      <c r="L34" s="199"/>
    </row>
    <row r="38" spans="2:12" ht="21.75" customHeight="1" x14ac:dyDescent="0.25">
      <c r="B38" s="2" t="s">
        <v>480</v>
      </c>
      <c r="C38" s="43"/>
      <c r="D38" s="43"/>
      <c r="E38" s="43"/>
      <c r="F38" s="43"/>
      <c r="G38" s="43"/>
      <c r="H38" s="43"/>
      <c r="I38" s="43"/>
      <c r="J38" s="43"/>
      <c r="K38" s="43"/>
      <c r="L38" s="43"/>
    </row>
    <row r="39" spans="2:12" ht="27.75" customHeight="1" x14ac:dyDescent="0.25">
      <c r="B39" s="201" t="s">
        <v>481</v>
      </c>
      <c r="C39" s="201"/>
      <c r="D39" s="201"/>
      <c r="E39" s="201"/>
      <c r="F39" s="201"/>
      <c r="G39" s="201"/>
      <c r="H39" s="201"/>
      <c r="I39" s="201"/>
      <c r="J39" s="201"/>
      <c r="K39" s="201"/>
      <c r="L39" s="201"/>
    </row>
    <row r="41" spans="2:12" ht="15" customHeight="1" x14ac:dyDescent="0.25">
      <c r="B41" s="4"/>
      <c r="C41" s="37">
        <v>2018</v>
      </c>
      <c r="D41" s="37">
        <v>2019</v>
      </c>
      <c r="E41" s="37">
        <v>2020</v>
      </c>
      <c r="F41" s="37">
        <v>2021</v>
      </c>
      <c r="G41" s="37">
        <v>2022</v>
      </c>
      <c r="H41" s="37">
        <v>2023</v>
      </c>
      <c r="I41" s="37">
        <v>2024</v>
      </c>
      <c r="J41" s="37">
        <v>2025</v>
      </c>
    </row>
    <row r="43" spans="2:12" ht="15" customHeight="1" x14ac:dyDescent="0.25">
      <c r="B43" s="24" t="s">
        <v>482</v>
      </c>
    </row>
    <row r="44" spans="2:12" ht="15" customHeight="1" x14ac:dyDescent="0.25">
      <c r="B44" s="44" t="s">
        <v>483</v>
      </c>
      <c r="C44" s="152">
        <v>7500</v>
      </c>
      <c r="D44" s="152">
        <v>8200</v>
      </c>
      <c r="E44" s="152">
        <v>9074</v>
      </c>
      <c r="F44" s="152">
        <v>10672</v>
      </c>
      <c r="G44" s="152">
        <v>15000</v>
      </c>
      <c r="H44" s="152">
        <v>17390</v>
      </c>
      <c r="I44" s="152">
        <v>17800</v>
      </c>
      <c r="J44" s="152">
        <v>18500</v>
      </c>
    </row>
    <row r="45" spans="2:12" ht="15" customHeight="1" x14ac:dyDescent="0.25">
      <c r="B45" s="64" t="s">
        <v>387</v>
      </c>
      <c r="C45" s="136" t="s">
        <v>388</v>
      </c>
      <c r="D45" s="137">
        <f t="shared" ref="D45:J45" si="2">D44/C44-1</f>
        <v>9.3333333333333268E-2</v>
      </c>
      <c r="E45" s="137">
        <f t="shared" si="2"/>
        <v>0.10658536585365863</v>
      </c>
      <c r="F45" s="137">
        <f t="shared" si="2"/>
        <v>0.1761075600617148</v>
      </c>
      <c r="G45" s="137">
        <f t="shared" si="2"/>
        <v>0.40554722638680651</v>
      </c>
      <c r="H45" s="137">
        <f t="shared" si="2"/>
        <v>0.15933333333333333</v>
      </c>
      <c r="I45" s="137">
        <f t="shared" si="2"/>
        <v>2.357676825761934E-2</v>
      </c>
      <c r="J45" s="137">
        <f t="shared" si="2"/>
        <v>3.9325842696629199E-2</v>
      </c>
    </row>
    <row r="47" spans="2:12" ht="15" customHeight="1" x14ac:dyDescent="0.25">
      <c r="B47" s="24" t="s">
        <v>484</v>
      </c>
    </row>
    <row r="48" spans="2:12" ht="15" customHeight="1" x14ac:dyDescent="0.25">
      <c r="B48" s="44" t="s">
        <v>485</v>
      </c>
      <c r="C48" s="152">
        <v>16000</v>
      </c>
      <c r="D48" s="152">
        <v>18000</v>
      </c>
      <c r="E48" s="152">
        <v>23000</v>
      </c>
      <c r="F48" s="152">
        <v>28470</v>
      </c>
      <c r="G48" s="152">
        <v>45000</v>
      </c>
      <c r="H48" s="152">
        <v>55020</v>
      </c>
      <c r="I48" s="152">
        <v>56500</v>
      </c>
      <c r="J48" s="152">
        <v>57500</v>
      </c>
    </row>
    <row r="49" spans="2:12" ht="15" customHeight="1" x14ac:dyDescent="0.25">
      <c r="B49" s="58" t="s">
        <v>486</v>
      </c>
      <c r="C49" s="153">
        <f t="shared" ref="C49:J49" si="3">C48/C44</f>
        <v>2.1333333333333333</v>
      </c>
      <c r="D49" s="153">
        <f t="shared" si="3"/>
        <v>2.1951219512195124</v>
      </c>
      <c r="E49" s="153">
        <f t="shared" si="3"/>
        <v>2.5347145690985231</v>
      </c>
      <c r="F49" s="153">
        <f t="shared" si="3"/>
        <v>2.6677286356821588</v>
      </c>
      <c r="G49" s="153">
        <f t="shared" si="3"/>
        <v>3</v>
      </c>
      <c r="H49" s="153">
        <f t="shared" si="3"/>
        <v>3.1638872915468661</v>
      </c>
      <c r="I49" s="153">
        <f t="shared" si="3"/>
        <v>3.1741573033707864</v>
      </c>
      <c r="J49" s="153">
        <f t="shared" si="3"/>
        <v>3.1081081081081079</v>
      </c>
    </row>
    <row r="50" spans="2:12" ht="15" customHeight="1" x14ac:dyDescent="0.25">
      <c r="B50" s="64" t="s">
        <v>487</v>
      </c>
      <c r="C50" s="136" t="s">
        <v>388</v>
      </c>
      <c r="D50" s="137">
        <f t="shared" ref="D50:J50" si="4">D48/C48-1</f>
        <v>0.125</v>
      </c>
      <c r="E50" s="137">
        <f t="shared" si="4"/>
        <v>0.27777777777777768</v>
      </c>
      <c r="F50" s="137">
        <f t="shared" si="4"/>
        <v>0.23782608695652163</v>
      </c>
      <c r="G50" s="137">
        <f t="shared" si="4"/>
        <v>0.58061116965226556</v>
      </c>
      <c r="H50" s="137">
        <f t="shared" si="4"/>
        <v>0.22266666666666657</v>
      </c>
      <c r="I50" s="137">
        <f t="shared" si="4"/>
        <v>2.6899309342057531E-2</v>
      </c>
      <c r="J50" s="137">
        <f t="shared" si="4"/>
        <v>1.7699115044247815E-2</v>
      </c>
    </row>
    <row r="52" spans="2:12" ht="15" customHeight="1" x14ac:dyDescent="0.25">
      <c r="B52" s="24" t="s">
        <v>488</v>
      </c>
    </row>
    <row r="53" spans="2:12" ht="15" customHeight="1" x14ac:dyDescent="0.25">
      <c r="B53" s="44" t="s">
        <v>489</v>
      </c>
      <c r="C53" s="152">
        <v>12000</v>
      </c>
      <c r="D53" s="152">
        <v>15000</v>
      </c>
      <c r="E53" s="152">
        <v>22000</v>
      </c>
      <c r="F53" s="152">
        <v>35000</v>
      </c>
      <c r="G53" s="152">
        <v>55000</v>
      </c>
      <c r="H53" s="152">
        <v>60000</v>
      </c>
      <c r="I53" s="152">
        <v>62000</v>
      </c>
      <c r="J53" s="152">
        <v>65000</v>
      </c>
    </row>
    <row r="54" spans="2:12" ht="15" customHeight="1" x14ac:dyDescent="0.25">
      <c r="B54" s="44" t="s">
        <v>490</v>
      </c>
      <c r="C54" s="152">
        <v>9000</v>
      </c>
      <c r="D54" s="152">
        <v>10000</v>
      </c>
      <c r="E54" s="152">
        <v>12000</v>
      </c>
      <c r="F54" s="152">
        <v>21000</v>
      </c>
      <c r="G54" s="152">
        <v>23000</v>
      </c>
      <c r="H54" s="152">
        <v>25000</v>
      </c>
      <c r="I54" s="152">
        <v>25500</v>
      </c>
      <c r="J54" s="152">
        <v>26500</v>
      </c>
    </row>
    <row r="55" spans="2:12" ht="15" customHeight="1" x14ac:dyDescent="0.25">
      <c r="B55" s="64" t="s">
        <v>491</v>
      </c>
      <c r="C55" s="154">
        <f t="shared" ref="C55:J55" si="5">C53/C54</f>
        <v>1.3333333333333333</v>
      </c>
      <c r="D55" s="154">
        <f t="shared" si="5"/>
        <v>1.5</v>
      </c>
      <c r="E55" s="154">
        <f t="shared" si="5"/>
        <v>1.8333333333333333</v>
      </c>
      <c r="F55" s="154">
        <f t="shared" si="5"/>
        <v>1.6666666666666667</v>
      </c>
      <c r="G55" s="154">
        <f t="shared" si="5"/>
        <v>2.3913043478260869</v>
      </c>
      <c r="H55" s="154">
        <f t="shared" si="5"/>
        <v>2.4</v>
      </c>
      <c r="I55" s="154">
        <f t="shared" si="5"/>
        <v>2.4313725490196076</v>
      </c>
      <c r="J55" s="154">
        <f t="shared" si="5"/>
        <v>2.4528301886792452</v>
      </c>
    </row>
    <row r="57" spans="2:12" ht="15" customHeight="1" x14ac:dyDescent="0.25">
      <c r="B57" s="24" t="s">
        <v>492</v>
      </c>
    </row>
    <row r="58" spans="2:12" ht="15" customHeight="1" x14ac:dyDescent="0.25">
      <c r="B58" s="44" t="s">
        <v>493</v>
      </c>
      <c r="C58" s="150">
        <v>4500</v>
      </c>
      <c r="D58" s="150">
        <v>5000</v>
      </c>
      <c r="E58" s="150">
        <v>6000</v>
      </c>
      <c r="F58" s="150">
        <v>10500</v>
      </c>
      <c r="G58" s="150">
        <v>11500</v>
      </c>
      <c r="H58" s="150">
        <v>12500</v>
      </c>
      <c r="I58" s="150">
        <v>12700</v>
      </c>
      <c r="J58" s="150">
        <v>13200</v>
      </c>
    </row>
    <row r="59" spans="2:12" ht="15" customHeight="1" x14ac:dyDescent="0.25">
      <c r="B59" s="64" t="s">
        <v>494</v>
      </c>
      <c r="C59" s="155">
        <f t="shared" ref="C59:J59" si="6">C58/C53</f>
        <v>0.375</v>
      </c>
      <c r="D59" s="155">
        <f t="shared" si="6"/>
        <v>0.33333333333333331</v>
      </c>
      <c r="E59" s="155">
        <f t="shared" si="6"/>
        <v>0.27272727272727271</v>
      </c>
      <c r="F59" s="155">
        <f t="shared" si="6"/>
        <v>0.3</v>
      </c>
      <c r="G59" s="155">
        <f t="shared" si="6"/>
        <v>0.20909090909090908</v>
      </c>
      <c r="H59" s="155">
        <f t="shared" si="6"/>
        <v>0.20833333333333334</v>
      </c>
      <c r="I59" s="155">
        <f t="shared" si="6"/>
        <v>0.20483870967741935</v>
      </c>
      <c r="J59" s="155">
        <f t="shared" si="6"/>
        <v>0.20307692307692307</v>
      </c>
    </row>
    <row r="61" spans="2:12" ht="15" customHeight="1" x14ac:dyDescent="0.25">
      <c r="B61" s="24" t="s">
        <v>495</v>
      </c>
    </row>
    <row r="62" spans="2:12" ht="15" customHeight="1" x14ac:dyDescent="0.25">
      <c r="B62" s="44" t="s">
        <v>496</v>
      </c>
      <c r="C62" s="147">
        <v>2346</v>
      </c>
      <c r="D62" s="199" t="s">
        <v>497</v>
      </c>
      <c r="E62" s="199"/>
      <c r="F62" s="199"/>
      <c r="G62" s="199"/>
      <c r="H62" s="199"/>
      <c r="I62" s="199"/>
      <c r="J62" s="199"/>
      <c r="K62" s="199"/>
      <c r="L62" s="199"/>
    </row>
    <row r="63" spans="2:12" ht="15" customHeight="1" x14ac:dyDescent="0.25">
      <c r="B63" s="44" t="s">
        <v>498</v>
      </c>
      <c r="C63" s="147">
        <v>450</v>
      </c>
      <c r="D63" s="199" t="s">
        <v>499</v>
      </c>
      <c r="E63" s="199"/>
      <c r="F63" s="199"/>
      <c r="G63" s="199"/>
      <c r="H63" s="199"/>
      <c r="I63" s="199"/>
      <c r="J63" s="199"/>
      <c r="K63" s="199"/>
      <c r="L63" s="199"/>
    </row>
    <row r="64" spans="2:12" ht="15" customHeight="1" x14ac:dyDescent="0.25">
      <c r="B64" s="44" t="s">
        <v>500</v>
      </c>
      <c r="C64" s="147">
        <v>2796</v>
      </c>
      <c r="D64" s="199" t="s">
        <v>501</v>
      </c>
      <c r="E64" s="199"/>
      <c r="F64" s="199"/>
      <c r="G64" s="199"/>
      <c r="H64" s="199"/>
      <c r="I64" s="199"/>
      <c r="J64" s="199"/>
      <c r="K64" s="199"/>
      <c r="L64" s="199"/>
    </row>
    <row r="66" spans="2:12" ht="15" customHeight="1" x14ac:dyDescent="0.25">
      <c r="B66" s="24" t="s">
        <v>502</v>
      </c>
    </row>
    <row r="67" spans="2:12" ht="15" customHeight="1" x14ac:dyDescent="0.25">
      <c r="B67" s="44" t="s">
        <v>503</v>
      </c>
      <c r="C67" s="59">
        <v>0.20050501961129399</v>
      </c>
    </row>
    <row r="68" spans="2:12" ht="15" customHeight="1" x14ac:dyDescent="0.25">
      <c r="B68" s="44" t="s">
        <v>504</v>
      </c>
      <c r="C68" s="59">
        <v>0.137668623901436</v>
      </c>
    </row>
    <row r="69" spans="2:12" ht="15" customHeight="1" x14ac:dyDescent="0.25">
      <c r="B69" s="44" t="s">
        <v>505</v>
      </c>
      <c r="C69" s="59">
        <v>0.27297206397250401</v>
      </c>
      <c r="D69" s="199" t="s">
        <v>506</v>
      </c>
      <c r="E69" s="199"/>
      <c r="F69" s="199"/>
      <c r="G69" s="199"/>
      <c r="H69" s="199"/>
      <c r="I69" s="199"/>
      <c r="J69" s="199"/>
      <c r="K69" s="199"/>
      <c r="L69" s="199"/>
    </row>
    <row r="70" spans="2:12" ht="15" customHeight="1" x14ac:dyDescent="0.25">
      <c r="B70" s="44" t="s">
        <v>490</v>
      </c>
      <c r="C70" s="59">
        <v>0.16681090839350801</v>
      </c>
    </row>
    <row r="71" spans="2:12" ht="15" customHeight="1" x14ac:dyDescent="0.25">
      <c r="B71" s="44" t="s">
        <v>507</v>
      </c>
      <c r="C71" s="59">
        <v>0.166180880170228</v>
      </c>
      <c r="D71" s="199" t="s">
        <v>508</v>
      </c>
      <c r="E71" s="199"/>
      <c r="F71" s="199"/>
      <c r="G71" s="199"/>
      <c r="H71" s="199"/>
      <c r="I71" s="199"/>
      <c r="J71" s="199"/>
      <c r="K71" s="199"/>
      <c r="L71" s="199"/>
    </row>
    <row r="73" spans="2:12" ht="15" customHeight="1" x14ac:dyDescent="0.25">
      <c r="B73" s="24" t="s">
        <v>436</v>
      </c>
    </row>
    <row r="74" spans="2:12" ht="27.75" customHeight="1" x14ac:dyDescent="0.25">
      <c r="B74" s="192" t="s">
        <v>509</v>
      </c>
      <c r="C74" s="192"/>
      <c r="D74" s="192"/>
      <c r="E74" s="192"/>
      <c r="F74" s="192"/>
      <c r="G74" s="192"/>
      <c r="H74" s="192"/>
      <c r="I74" s="192"/>
      <c r="J74" s="192"/>
      <c r="K74" s="192"/>
      <c r="L74" s="192"/>
    </row>
    <row r="75" spans="2:12" ht="27.75" customHeight="1" x14ac:dyDescent="0.25">
      <c r="B75" s="192" t="s">
        <v>510</v>
      </c>
      <c r="C75" s="192"/>
      <c r="D75" s="192"/>
      <c r="E75" s="192"/>
      <c r="F75" s="192"/>
      <c r="G75" s="192"/>
      <c r="H75" s="192"/>
      <c r="I75" s="192"/>
      <c r="J75" s="192"/>
      <c r="K75" s="192"/>
      <c r="L75" s="192"/>
    </row>
    <row r="76" spans="2:12" ht="27.75" customHeight="1" x14ac:dyDescent="0.25">
      <c r="B76" s="192" t="s">
        <v>511</v>
      </c>
      <c r="C76" s="192"/>
      <c r="D76" s="192"/>
      <c r="E76" s="192"/>
      <c r="F76" s="192"/>
      <c r="G76" s="192"/>
      <c r="H76" s="192"/>
      <c r="I76" s="192"/>
      <c r="J76" s="192"/>
      <c r="K76" s="192"/>
      <c r="L76" s="192"/>
    </row>
    <row r="77" spans="2:12" ht="27.75" customHeight="1" x14ac:dyDescent="0.25">
      <c r="B77" s="192" t="s">
        <v>512</v>
      </c>
      <c r="C77" s="192"/>
      <c r="D77" s="192"/>
      <c r="E77" s="192"/>
      <c r="F77" s="192"/>
      <c r="G77" s="192"/>
      <c r="H77" s="192"/>
      <c r="I77" s="192"/>
      <c r="J77" s="192"/>
      <c r="K77" s="192"/>
      <c r="L77" s="192"/>
    </row>
    <row r="78" spans="2:12" ht="27.75" customHeight="1" x14ac:dyDescent="0.25">
      <c r="B78" s="192" t="s">
        <v>513</v>
      </c>
      <c r="C78" s="192"/>
      <c r="D78" s="192"/>
      <c r="E78" s="192"/>
      <c r="F78" s="192"/>
      <c r="G78" s="192"/>
      <c r="H78" s="192"/>
      <c r="I78" s="192"/>
      <c r="J78" s="192"/>
      <c r="K78" s="192"/>
      <c r="L78" s="192"/>
    </row>
    <row r="79" spans="2:12" ht="27.75" customHeight="1" x14ac:dyDescent="0.25">
      <c r="B79" s="192" t="s">
        <v>514</v>
      </c>
      <c r="C79" s="192"/>
      <c r="D79" s="192"/>
      <c r="E79" s="192"/>
      <c r="F79" s="192"/>
      <c r="G79" s="192"/>
      <c r="H79" s="192"/>
      <c r="I79" s="192"/>
      <c r="J79" s="192"/>
      <c r="K79" s="192"/>
      <c r="L79" s="192"/>
    </row>
    <row r="80" spans="2:12" ht="27.75" customHeight="1" x14ac:dyDescent="0.25">
      <c r="B80" s="192" t="s">
        <v>515</v>
      </c>
      <c r="C80" s="192"/>
      <c r="D80" s="192"/>
      <c r="E80" s="192"/>
      <c r="F80" s="192"/>
      <c r="G80" s="192"/>
      <c r="H80" s="192"/>
      <c r="I80" s="192"/>
      <c r="J80" s="192"/>
      <c r="K80" s="192"/>
      <c r="L80" s="192"/>
    </row>
    <row r="81" spans="2:18" ht="27.75" customHeight="1" x14ac:dyDescent="0.25">
      <c r="B81" s="192" t="s">
        <v>516</v>
      </c>
      <c r="C81" s="192"/>
      <c r="D81" s="192"/>
      <c r="E81" s="192"/>
      <c r="F81" s="192"/>
      <c r="G81" s="192"/>
      <c r="H81" s="192"/>
      <c r="I81" s="192"/>
      <c r="J81" s="192"/>
      <c r="K81" s="192"/>
      <c r="L81" s="192"/>
    </row>
    <row r="82" spans="2:18" ht="27.75" customHeight="1" x14ac:dyDescent="0.25">
      <c r="B82" s="192" t="s">
        <v>517</v>
      </c>
      <c r="C82" s="192"/>
      <c r="D82" s="192"/>
      <c r="E82" s="192"/>
      <c r="F82" s="192"/>
      <c r="G82" s="192"/>
      <c r="H82" s="192"/>
      <c r="I82" s="192"/>
      <c r="J82" s="192"/>
      <c r="K82" s="192"/>
      <c r="L82" s="192"/>
    </row>
    <row r="83" spans="2:18" ht="27.75" customHeight="1" x14ac:dyDescent="0.25">
      <c r="B83" s="192" t="s">
        <v>518</v>
      </c>
      <c r="C83" s="192"/>
      <c r="D83" s="192"/>
      <c r="E83" s="192"/>
      <c r="F83" s="192"/>
      <c r="G83" s="192"/>
      <c r="H83" s="192"/>
      <c r="I83" s="192"/>
      <c r="J83" s="192"/>
      <c r="K83" s="192"/>
      <c r="L83" s="192"/>
    </row>
    <row r="84" spans="2:18" ht="27.75" customHeight="1" x14ac:dyDescent="0.25">
      <c r="B84" s="192" t="s">
        <v>519</v>
      </c>
      <c r="C84" s="192"/>
      <c r="D84" s="192"/>
      <c r="E84" s="192"/>
      <c r="F84" s="192"/>
      <c r="G84" s="192"/>
      <c r="H84" s="192"/>
      <c r="I84" s="192"/>
      <c r="J84" s="192"/>
      <c r="K84" s="192"/>
      <c r="L84" s="192"/>
    </row>
    <row r="85" spans="2:18" ht="27.75" customHeight="1" x14ac:dyDescent="0.25">
      <c r="B85" s="192" t="s">
        <v>520</v>
      </c>
      <c r="C85" s="192"/>
      <c r="D85" s="192"/>
      <c r="E85" s="192"/>
      <c r="F85" s="192"/>
      <c r="G85" s="192"/>
      <c r="H85" s="192"/>
      <c r="I85" s="192"/>
      <c r="J85" s="192"/>
      <c r="K85" s="192"/>
      <c r="L85" s="192"/>
    </row>
    <row r="86" spans="2:18" ht="27.75" customHeight="1" x14ac:dyDescent="0.25">
      <c r="B86" s="192" t="s">
        <v>521</v>
      </c>
      <c r="C86" s="192"/>
      <c r="D86" s="192"/>
      <c r="E86" s="192"/>
      <c r="F86" s="192"/>
      <c r="G86" s="192"/>
      <c r="H86" s="192"/>
      <c r="I86" s="192"/>
      <c r="J86" s="192"/>
      <c r="K86" s="192"/>
      <c r="L86" s="192"/>
    </row>
    <row r="89" spans="2:18" x14ac:dyDescent="0.25">
      <c r="B89" s="200" t="s">
        <v>522</v>
      </c>
      <c r="C89" s="200"/>
      <c r="D89" s="200"/>
      <c r="E89" s="200"/>
      <c r="F89" s="200"/>
      <c r="G89" s="200"/>
      <c r="H89" s="200"/>
      <c r="I89" s="200"/>
      <c r="J89" s="200"/>
      <c r="K89" s="200"/>
      <c r="L89" s="200"/>
      <c r="M89" s="200"/>
      <c r="N89" s="200"/>
      <c r="O89" s="200"/>
      <c r="P89" s="200"/>
      <c r="Q89" s="200"/>
      <c r="R89" s="200"/>
    </row>
    <row r="90" spans="2:18" ht="39.75" customHeight="1" x14ac:dyDescent="0.25">
      <c r="B90" s="197" t="s">
        <v>670</v>
      </c>
      <c r="C90" s="197"/>
      <c r="D90" s="197"/>
      <c r="E90" s="197"/>
      <c r="F90" s="197"/>
      <c r="G90" s="197"/>
      <c r="H90" s="197"/>
      <c r="I90" s="197"/>
      <c r="J90" s="197"/>
      <c r="K90" s="197"/>
      <c r="L90" s="197"/>
      <c r="M90" s="197"/>
      <c r="N90" s="197"/>
      <c r="O90" s="197"/>
      <c r="P90" s="197"/>
      <c r="Q90" s="197"/>
      <c r="R90" s="197"/>
    </row>
    <row r="92" spans="2:18" x14ac:dyDescent="0.25">
      <c r="B92" s="24" t="s">
        <v>523</v>
      </c>
    </row>
    <row r="93" spans="2:18" x14ac:dyDescent="0.25">
      <c r="B93" s="8" t="s">
        <v>524</v>
      </c>
      <c r="C93" s="156">
        <v>2010</v>
      </c>
      <c r="D93" s="156">
        <v>2011</v>
      </c>
      <c r="E93" s="156">
        <v>2012</v>
      </c>
      <c r="F93" s="156">
        <v>2013</v>
      </c>
      <c r="G93" s="156">
        <v>2014</v>
      </c>
      <c r="H93" s="156">
        <v>2015</v>
      </c>
      <c r="I93" s="156">
        <v>2016</v>
      </c>
      <c r="J93" s="156">
        <v>2017</v>
      </c>
      <c r="K93" s="156">
        <v>2018</v>
      </c>
      <c r="L93" s="156">
        <v>2019</v>
      </c>
      <c r="M93" s="156">
        <v>2020</v>
      </c>
      <c r="N93" s="156">
        <v>2021</v>
      </c>
      <c r="O93" s="156">
        <v>2022</v>
      </c>
      <c r="P93" s="156">
        <v>2023</v>
      </c>
      <c r="Q93" s="156">
        <v>2024</v>
      </c>
      <c r="R93" s="156">
        <v>2025</v>
      </c>
    </row>
    <row r="94" spans="2:18" x14ac:dyDescent="0.25">
      <c r="B94" s="13" t="s">
        <v>525</v>
      </c>
      <c r="C94" s="157">
        <v>2.3465051820365899</v>
      </c>
      <c r="D94" s="157">
        <v>2.9808840839577901</v>
      </c>
      <c r="E94" s="157">
        <v>2.6238012090402898</v>
      </c>
      <c r="F94" s="157">
        <v>2.6107831861129802</v>
      </c>
      <c r="G94" s="157">
        <v>2.6584140881016798</v>
      </c>
      <c r="H94" s="157">
        <v>1.808354369038</v>
      </c>
      <c r="I94" s="157">
        <v>2.4381821496679801</v>
      </c>
      <c r="J94" s="157">
        <v>2.5276322335494901</v>
      </c>
      <c r="K94" s="157">
        <v>2.1468966810406802</v>
      </c>
      <c r="L94" s="157">
        <v>2.3072474353790402</v>
      </c>
      <c r="M94" s="157">
        <v>2.00354610149917</v>
      </c>
      <c r="N94" s="157">
        <v>3.1589769976819699</v>
      </c>
      <c r="O94" s="157">
        <v>4.4215463551463099</v>
      </c>
      <c r="P94" s="157">
        <v>5.3086794465079601</v>
      </c>
      <c r="Q94" s="157">
        <v>4.10303022867617</v>
      </c>
      <c r="R94" s="157">
        <v>4.8624327399743104</v>
      </c>
    </row>
    <row r="95" spans="2:18" x14ac:dyDescent="0.25">
      <c r="B95" s="13" t="s">
        <v>526</v>
      </c>
      <c r="C95" s="157"/>
      <c r="D95" s="157"/>
      <c r="E95" s="157"/>
      <c r="F95" s="157"/>
      <c r="G95" s="157"/>
      <c r="H95" s="157"/>
      <c r="I95" s="157">
        <v>7.2677289843004997</v>
      </c>
      <c r="J95" s="157">
        <v>7.2304477218887397</v>
      </c>
      <c r="K95" s="157">
        <v>6.6433477020760403</v>
      </c>
      <c r="L95" s="157">
        <v>8.3045073707328907</v>
      </c>
      <c r="M95" s="157">
        <v>5.9923557076081204</v>
      </c>
      <c r="N95" s="157">
        <v>8.3651186660607895</v>
      </c>
      <c r="O95" s="157">
        <v>7.55109682015246</v>
      </c>
      <c r="P95" s="157">
        <v>7.66898006344001</v>
      </c>
      <c r="Q95" s="157">
        <v>6.1767025086798197</v>
      </c>
      <c r="R95" s="157">
        <v>6.9217286808521301</v>
      </c>
    </row>
    <row r="96" spans="2:18" x14ac:dyDescent="0.25">
      <c r="B96" s="158" t="s">
        <v>527</v>
      </c>
      <c r="C96" s="159"/>
      <c r="D96" s="159"/>
      <c r="E96" s="159"/>
      <c r="F96" s="159"/>
      <c r="G96" s="159"/>
      <c r="H96" s="159"/>
      <c r="I96" s="159"/>
      <c r="J96" s="159"/>
      <c r="K96" s="159"/>
      <c r="L96" s="159"/>
      <c r="M96" s="159"/>
      <c r="N96" s="159">
        <v>4.8225577328267901</v>
      </c>
      <c r="O96" s="159">
        <v>6.85329319956164</v>
      </c>
      <c r="P96" s="159">
        <v>6.1605988298868999</v>
      </c>
      <c r="Q96" s="159">
        <v>4.4432998888039199</v>
      </c>
      <c r="R96" s="159">
        <v>5.0854001706145899</v>
      </c>
    </row>
    <row r="97" spans="2:18" x14ac:dyDescent="0.25">
      <c r="B97" s="13" t="s">
        <v>528</v>
      </c>
      <c r="C97" s="157"/>
      <c r="D97" s="157"/>
      <c r="E97" s="157"/>
      <c r="F97" s="157"/>
      <c r="G97" s="157"/>
      <c r="H97" s="157"/>
      <c r="I97" s="157"/>
      <c r="J97" s="157"/>
      <c r="K97" s="157"/>
      <c r="L97" s="157"/>
      <c r="M97" s="157">
        <v>7</v>
      </c>
      <c r="N97" s="157">
        <v>8.48</v>
      </c>
      <c r="O97" s="157">
        <v>9.8699999999999992</v>
      </c>
      <c r="P97" s="157">
        <v>11.18</v>
      </c>
      <c r="Q97" s="157">
        <v>12.92</v>
      </c>
      <c r="R97" s="157">
        <v>13.68</v>
      </c>
    </row>
    <row r="99" spans="2:18" x14ac:dyDescent="0.25">
      <c r="B99" s="8" t="s">
        <v>529</v>
      </c>
    </row>
    <row r="100" spans="2:18" x14ac:dyDescent="0.25">
      <c r="B100" s="160" t="s">
        <v>530</v>
      </c>
      <c r="C100" s="161">
        <v>0.19401794363614</v>
      </c>
    </row>
    <row r="101" spans="2:18" x14ac:dyDescent="0.25">
      <c r="B101" s="160" t="s">
        <v>531</v>
      </c>
      <c r="C101" s="161">
        <v>2.9255976101960599E-2</v>
      </c>
    </row>
    <row r="102" spans="2:18" x14ac:dyDescent="0.25">
      <c r="B102" s="162" t="s">
        <v>532</v>
      </c>
      <c r="C102" s="163"/>
    </row>
    <row r="103" spans="2:18" x14ac:dyDescent="0.25">
      <c r="B103" s="160" t="s">
        <v>533</v>
      </c>
      <c r="C103" s="161">
        <v>0.14339848245775499</v>
      </c>
    </row>
    <row r="106" spans="2:18" x14ac:dyDescent="0.25">
      <c r="B106" s="24" t="s">
        <v>534</v>
      </c>
    </row>
    <row r="107" spans="2:18" x14ac:dyDescent="0.25">
      <c r="B107" s="8" t="s">
        <v>524</v>
      </c>
      <c r="C107" s="156">
        <v>2014</v>
      </c>
      <c r="D107" s="156">
        <v>2015</v>
      </c>
      <c r="E107" s="156">
        <v>2016</v>
      </c>
      <c r="F107" s="156">
        <v>2017</v>
      </c>
      <c r="G107" s="156">
        <v>2018</v>
      </c>
      <c r="H107" s="156">
        <v>2019</v>
      </c>
      <c r="I107" s="156">
        <v>2020</v>
      </c>
      <c r="J107" s="156">
        <v>2021</v>
      </c>
      <c r="K107" s="156">
        <v>2022</v>
      </c>
      <c r="L107" s="156">
        <v>2023</v>
      </c>
      <c r="M107" s="156">
        <v>2024</v>
      </c>
      <c r="N107" s="156">
        <v>2025</v>
      </c>
    </row>
    <row r="108" spans="2:18" x14ac:dyDescent="0.25">
      <c r="B108" s="13" t="s">
        <v>525</v>
      </c>
      <c r="C108" s="164">
        <v>-0.63298720678029696</v>
      </c>
      <c r="D108" s="164">
        <v>-0.57776783514582697</v>
      </c>
      <c r="E108" s="164">
        <v>-0.66496236587127799</v>
      </c>
      <c r="F108" s="164">
        <v>-0.41473577325127398</v>
      </c>
      <c r="G108" s="165">
        <v>-7.5710332418220297E-2</v>
      </c>
      <c r="H108" s="165">
        <v>-1.68333070486342E-2</v>
      </c>
      <c r="I108" s="165">
        <v>-3.0522866907358701E-2</v>
      </c>
      <c r="J108" s="165">
        <v>-6.0023974436587801E-2</v>
      </c>
      <c r="K108" s="165">
        <v>-0.1885838214386</v>
      </c>
      <c r="L108" s="164">
        <v>-0.34877735068905302</v>
      </c>
      <c r="M108" s="164">
        <v>-0.386322866800972</v>
      </c>
      <c r="N108" s="164">
        <v>-0.46421618477515197</v>
      </c>
    </row>
    <row r="109" spans="2:18" x14ac:dyDescent="0.25">
      <c r="B109" s="13" t="s">
        <v>526</v>
      </c>
      <c r="C109" s="165"/>
      <c r="D109" s="165"/>
      <c r="E109" s="164">
        <v>-0.49128770645861403</v>
      </c>
      <c r="F109" s="164">
        <v>-0.48911223579291702</v>
      </c>
      <c r="G109" s="164">
        <v>-0.47152885371548903</v>
      </c>
      <c r="H109" s="164">
        <v>-0.47617543763112302</v>
      </c>
      <c r="I109" s="164">
        <v>-0.35251300804389502</v>
      </c>
      <c r="J109" s="165">
        <v>-0.27623642943305199</v>
      </c>
      <c r="K109" s="164">
        <v>-0.37681293618998601</v>
      </c>
      <c r="L109" s="164">
        <v>-0.341792518310778</v>
      </c>
      <c r="M109" s="165">
        <v>-0.25768816350500601</v>
      </c>
      <c r="N109" s="164">
        <v>-0.47784812138553401</v>
      </c>
    </row>
    <row r="110" spans="2:18" x14ac:dyDescent="0.25">
      <c r="B110" s="158" t="s">
        <v>527</v>
      </c>
      <c r="C110" s="163"/>
      <c r="D110" s="163"/>
      <c r="E110" s="163"/>
      <c r="F110" s="163"/>
      <c r="G110" s="163"/>
      <c r="H110" s="163"/>
      <c r="I110" s="163"/>
      <c r="J110" s="163">
        <v>-0.18436819446040401</v>
      </c>
      <c r="K110" s="163">
        <v>-0.20591652480759701</v>
      </c>
      <c r="L110" s="163">
        <v>-0.42671830562480301</v>
      </c>
      <c r="M110" s="163">
        <v>-0.48780085985105398</v>
      </c>
      <c r="N110" s="163">
        <v>-0.69836979871350402</v>
      </c>
    </row>
    <row r="111" spans="2:18" x14ac:dyDescent="0.25">
      <c r="B111" s="13" t="s">
        <v>528</v>
      </c>
      <c r="C111" s="165"/>
      <c r="D111" s="165"/>
      <c r="E111" s="165"/>
      <c r="F111" s="165"/>
      <c r="G111" s="165"/>
      <c r="H111" s="165"/>
      <c r="I111" s="165">
        <v>-2.85714013235909E-2</v>
      </c>
      <c r="J111" s="165">
        <v>-9.4339642884596397E-2</v>
      </c>
      <c r="K111" s="165">
        <v>-0.16008105756301599</v>
      </c>
      <c r="L111" s="165">
        <v>-7.1556009418849396E-3</v>
      </c>
      <c r="M111" s="165">
        <v>-0.27012381538887098</v>
      </c>
      <c r="N111" s="164">
        <v>-0.42032164997524701</v>
      </c>
    </row>
    <row r="114" spans="2:18" x14ac:dyDescent="0.25">
      <c r="B114" s="198" t="s">
        <v>535</v>
      </c>
      <c r="C114" s="198"/>
      <c r="D114" s="198"/>
      <c r="E114" s="198"/>
      <c r="F114" s="198"/>
      <c r="G114" s="198"/>
      <c r="H114" s="198"/>
      <c r="I114" s="198"/>
      <c r="J114" s="198"/>
      <c r="K114" s="198"/>
      <c r="L114" s="198"/>
      <c r="M114" s="198"/>
      <c r="N114" s="198"/>
      <c r="O114" s="198"/>
      <c r="P114" s="198"/>
      <c r="Q114" s="198"/>
      <c r="R114" s="198"/>
    </row>
    <row r="115" spans="2:18" ht="30" customHeight="1" x14ac:dyDescent="0.25">
      <c r="B115" s="192" t="s">
        <v>536</v>
      </c>
      <c r="C115" s="192"/>
      <c r="D115" s="192"/>
      <c r="E115" s="192"/>
      <c r="F115" s="192"/>
      <c r="G115" s="192"/>
      <c r="H115" s="192"/>
      <c r="I115" s="192"/>
      <c r="J115" s="192"/>
      <c r="K115" s="192"/>
      <c r="L115" s="192"/>
      <c r="M115" s="192"/>
      <c r="N115" s="192"/>
      <c r="O115" s="192"/>
      <c r="P115" s="192"/>
      <c r="Q115" s="192"/>
      <c r="R115" s="192"/>
    </row>
    <row r="116" spans="2:18" ht="30" customHeight="1" x14ac:dyDescent="0.25">
      <c r="B116" s="192" t="s">
        <v>537</v>
      </c>
      <c r="C116" s="192"/>
      <c r="D116" s="192"/>
      <c r="E116" s="192"/>
      <c r="F116" s="192"/>
      <c r="G116" s="192"/>
      <c r="H116" s="192"/>
      <c r="I116" s="192"/>
      <c r="J116" s="192"/>
      <c r="K116" s="192"/>
      <c r="L116" s="192"/>
      <c r="M116" s="192"/>
      <c r="N116" s="192"/>
      <c r="O116" s="192"/>
      <c r="P116" s="192"/>
      <c r="Q116" s="192"/>
      <c r="R116" s="192"/>
    </row>
    <row r="117" spans="2:18" ht="30" customHeight="1" x14ac:dyDescent="0.25">
      <c r="B117" s="192" t="s">
        <v>538</v>
      </c>
      <c r="C117" s="192"/>
      <c r="D117" s="192"/>
      <c r="E117" s="192"/>
      <c r="F117" s="192"/>
      <c r="G117" s="192"/>
      <c r="H117" s="192"/>
      <c r="I117" s="192"/>
      <c r="J117" s="192"/>
      <c r="K117" s="192"/>
      <c r="L117" s="192"/>
      <c r="M117" s="192"/>
      <c r="N117" s="192"/>
      <c r="O117" s="192"/>
      <c r="P117" s="192"/>
      <c r="Q117" s="192"/>
      <c r="R117" s="192"/>
    </row>
  </sheetData>
  <mergeCells count="32">
    <mergeCell ref="B3:M3"/>
    <mergeCell ref="B6:L6"/>
    <mergeCell ref="D30:L30"/>
    <mergeCell ref="D31:L31"/>
    <mergeCell ref="D32:L32"/>
    <mergeCell ref="D33:L33"/>
    <mergeCell ref="D34:L34"/>
    <mergeCell ref="B39:L39"/>
    <mergeCell ref="D62:L62"/>
    <mergeCell ref="D63:L63"/>
    <mergeCell ref="D64:L64"/>
    <mergeCell ref="D69:L69"/>
    <mergeCell ref="D71:L71"/>
    <mergeCell ref="B74:L74"/>
    <mergeCell ref="B75:L75"/>
    <mergeCell ref="B76:L76"/>
    <mergeCell ref="B77:L77"/>
    <mergeCell ref="B78:L78"/>
    <mergeCell ref="B79:L79"/>
    <mergeCell ref="B80:L80"/>
    <mergeCell ref="B81:L81"/>
    <mergeCell ref="B82:L82"/>
    <mergeCell ref="B83:L83"/>
    <mergeCell ref="B84:L84"/>
    <mergeCell ref="B85:L85"/>
    <mergeCell ref="B116:R116"/>
    <mergeCell ref="B117:R117"/>
    <mergeCell ref="B86:L86"/>
    <mergeCell ref="B89:R89"/>
    <mergeCell ref="B90:R90"/>
    <mergeCell ref="B114:R114"/>
    <mergeCell ref="B115:R115"/>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5"/>
  <sheetViews>
    <sheetView showGridLines="0" zoomScaleNormal="100" workbookViewId="0">
      <pane xSplit="2" ySplit="5" topLeftCell="C6" activePane="bottomRight" state="frozen"/>
      <selection pane="topRight" activeCell="C1" sqref="C1"/>
      <selection pane="bottomLeft" activeCell="A6" sqref="A6"/>
      <selection pane="bottomRight" activeCell="B4" sqref="B4"/>
    </sheetView>
  </sheetViews>
  <sheetFormatPr defaultColWidth="8.7109375" defaultRowHeight="15" x14ac:dyDescent="0.25"/>
  <cols>
    <col min="1" max="1" width="2" customWidth="1"/>
    <col min="2" max="2" width="67.42578125" bestFit="1" customWidth="1"/>
    <col min="3" max="3" width="30" customWidth="1"/>
    <col min="4" max="4" width="11" customWidth="1"/>
    <col min="5" max="5" width="24" customWidth="1"/>
    <col min="6" max="8" width="9" customWidth="1"/>
    <col min="9" max="12" width="11" customWidth="1"/>
    <col min="13" max="14" width="7" customWidth="1"/>
    <col min="15" max="15" width="8" customWidth="1"/>
    <col min="16" max="16" width="11" customWidth="1"/>
    <col min="17" max="17" width="9" customWidth="1"/>
    <col min="18" max="19" width="11" customWidth="1"/>
  </cols>
  <sheetData>
    <row r="1" spans="1:19" x14ac:dyDescent="0.25">
      <c r="A1" s="25" t="s">
        <v>1</v>
      </c>
    </row>
    <row r="2" spans="1:19" ht="18" x14ac:dyDescent="0.25">
      <c r="A2" s="26" t="s">
        <v>40</v>
      </c>
      <c r="B2" s="27" t="s">
        <v>539</v>
      </c>
      <c r="C2" s="29" t="s">
        <v>540</v>
      </c>
      <c r="D2" s="130" t="s">
        <v>541</v>
      </c>
      <c r="E2" s="131" t="s">
        <v>542</v>
      </c>
      <c r="F2" s="166" t="s">
        <v>543</v>
      </c>
    </row>
    <row r="3" spans="1:19" ht="49.5" customHeight="1" x14ac:dyDescent="0.25">
      <c r="B3" s="197" t="s">
        <v>671</v>
      </c>
      <c r="C3" s="197"/>
      <c r="D3" s="197"/>
      <c r="E3" s="197"/>
      <c r="F3" s="197"/>
      <c r="G3" s="197"/>
      <c r="H3" s="197"/>
      <c r="I3" s="197"/>
      <c r="J3" s="197"/>
      <c r="K3" s="197"/>
      <c r="L3" s="197"/>
      <c r="M3" s="197"/>
      <c r="N3" s="197"/>
      <c r="O3" s="197"/>
      <c r="P3" s="197"/>
      <c r="Q3" s="197"/>
      <c r="R3" s="197"/>
      <c r="S3" s="197"/>
    </row>
    <row r="5" spans="1:19" x14ac:dyDescent="0.25">
      <c r="B5" s="200" t="s">
        <v>544</v>
      </c>
      <c r="C5" s="200"/>
      <c r="D5" s="200"/>
      <c r="E5" s="200"/>
      <c r="F5" s="200"/>
      <c r="G5" s="200"/>
      <c r="H5" s="200"/>
      <c r="I5" s="200"/>
      <c r="J5" s="200"/>
      <c r="K5" s="200"/>
      <c r="L5" s="200"/>
      <c r="M5" s="200"/>
      <c r="N5" s="200"/>
      <c r="O5" s="200"/>
      <c r="P5" s="200"/>
      <c r="Q5" s="200"/>
      <c r="R5" s="200"/>
      <c r="S5" s="200"/>
    </row>
    <row r="6" spans="1:19" ht="30" customHeight="1" x14ac:dyDescent="0.25">
      <c r="B6" s="167" t="s">
        <v>545</v>
      </c>
      <c r="C6" s="167" t="s">
        <v>546</v>
      </c>
      <c r="D6" s="167" t="s">
        <v>547</v>
      </c>
      <c r="E6" s="167" t="s">
        <v>548</v>
      </c>
      <c r="F6" s="167" t="s">
        <v>549</v>
      </c>
      <c r="G6" s="167" t="s">
        <v>550</v>
      </c>
      <c r="H6" s="167" t="s">
        <v>551</v>
      </c>
      <c r="I6" s="167" t="s">
        <v>552</v>
      </c>
      <c r="J6" s="167" t="s">
        <v>553</v>
      </c>
      <c r="K6" s="167" t="s">
        <v>554</v>
      </c>
      <c r="L6" s="167" t="s">
        <v>555</v>
      </c>
      <c r="M6" s="167" t="s">
        <v>556</v>
      </c>
      <c r="N6" s="167" t="s">
        <v>557</v>
      </c>
      <c r="O6" s="167" t="s">
        <v>558</v>
      </c>
      <c r="P6" s="167" t="s">
        <v>559</v>
      </c>
      <c r="Q6" s="167" t="s">
        <v>560</v>
      </c>
      <c r="R6" s="167" t="s">
        <v>561</v>
      </c>
      <c r="S6" s="167" t="s">
        <v>562</v>
      </c>
    </row>
    <row r="7" spans="1:19" x14ac:dyDescent="0.25">
      <c r="B7" s="202" t="s">
        <v>563</v>
      </c>
      <c r="C7" s="202"/>
      <c r="D7" s="202"/>
      <c r="E7" s="202"/>
      <c r="F7" s="202"/>
      <c r="G7" s="202"/>
      <c r="H7" s="202"/>
      <c r="I7" s="202"/>
      <c r="J7" s="202"/>
      <c r="K7" s="202"/>
      <c r="L7" s="202"/>
      <c r="M7" s="202"/>
      <c r="N7" s="202"/>
      <c r="O7" s="202"/>
      <c r="P7" s="202"/>
      <c r="Q7" s="202"/>
      <c r="R7" s="202"/>
      <c r="S7" s="202"/>
    </row>
    <row r="8" spans="1:19" x14ac:dyDescent="0.25">
      <c r="B8" s="158" t="s">
        <v>564</v>
      </c>
      <c r="C8" s="158" t="s">
        <v>565</v>
      </c>
      <c r="D8" s="14" t="s">
        <v>566</v>
      </c>
      <c r="E8" s="168" t="s">
        <v>567</v>
      </c>
      <c r="F8" s="169">
        <v>8.91</v>
      </c>
      <c r="G8" s="170">
        <v>39.200000000000003</v>
      </c>
      <c r="H8" s="170">
        <v>80.5</v>
      </c>
      <c r="I8" s="171">
        <v>14293.8939102695</v>
      </c>
      <c r="J8" s="171">
        <v>156.951703406814</v>
      </c>
      <c r="K8" s="171">
        <v>560.32064128256502</v>
      </c>
      <c r="L8" s="171">
        <v>470.52064128256501</v>
      </c>
      <c r="M8" s="172">
        <v>1.3140755033556999</v>
      </c>
      <c r="N8" s="172">
        <v>0.33357028286578</v>
      </c>
      <c r="O8" s="163">
        <v>-0.66642971713421995</v>
      </c>
      <c r="P8" s="170">
        <v>13.326653306613199</v>
      </c>
      <c r="Q8" s="173">
        <v>2.3783977110157398E-2</v>
      </c>
      <c r="R8" s="173">
        <v>8.4909262004445707E-2</v>
      </c>
      <c r="S8" s="163"/>
    </row>
    <row r="9" spans="1:19" x14ac:dyDescent="0.25">
      <c r="B9" s="202" t="s">
        <v>568</v>
      </c>
      <c r="C9" s="202"/>
      <c r="D9" s="202"/>
      <c r="E9" s="202"/>
      <c r="F9" s="202"/>
      <c r="G9" s="202"/>
      <c r="H9" s="202"/>
      <c r="I9" s="202"/>
      <c r="J9" s="202"/>
      <c r="K9" s="202"/>
      <c r="L9" s="202"/>
      <c r="M9" s="202"/>
      <c r="N9" s="202"/>
      <c r="O9" s="202"/>
      <c r="P9" s="202"/>
      <c r="Q9" s="202"/>
      <c r="R9" s="202"/>
      <c r="S9" s="202"/>
    </row>
    <row r="10" spans="1:19" x14ac:dyDescent="0.25">
      <c r="B10" s="174" t="s">
        <v>569</v>
      </c>
      <c r="C10" s="174" t="s">
        <v>570</v>
      </c>
      <c r="D10" s="174" t="s">
        <v>566</v>
      </c>
      <c r="E10" s="175" t="s">
        <v>571</v>
      </c>
      <c r="F10" s="176">
        <v>17.55</v>
      </c>
      <c r="G10" s="177">
        <v>227</v>
      </c>
      <c r="H10" s="177">
        <v>360</v>
      </c>
      <c r="I10" s="178">
        <v>11826.295763332801</v>
      </c>
      <c r="J10" s="178">
        <v>1553.8256513026099</v>
      </c>
      <c r="K10" s="178">
        <v>2684.5691382765499</v>
      </c>
      <c r="L10" s="178">
        <v>2825.6513026052098</v>
      </c>
      <c r="M10" s="179">
        <v>0.91218705882353002</v>
      </c>
      <c r="N10" s="179">
        <v>0.54990000000000006</v>
      </c>
      <c r="O10" s="180">
        <v>-0.4501</v>
      </c>
      <c r="P10" s="177">
        <v>407.41482965931903</v>
      </c>
      <c r="Q10" s="181">
        <v>0.15176171991639301</v>
      </c>
      <c r="R10" s="181">
        <v>0.26220112231882198</v>
      </c>
      <c r="S10" s="180">
        <v>0.19401794363614</v>
      </c>
    </row>
    <row r="11" spans="1:19" x14ac:dyDescent="0.25">
      <c r="B11" s="174" t="s">
        <v>572</v>
      </c>
      <c r="C11" s="174" t="s">
        <v>573</v>
      </c>
      <c r="D11" s="174" t="s">
        <v>566</v>
      </c>
      <c r="E11" s="175" t="s">
        <v>574</v>
      </c>
      <c r="F11" s="176">
        <v>17.5</v>
      </c>
      <c r="G11" s="177">
        <v>119</v>
      </c>
      <c r="H11" s="177">
        <v>183</v>
      </c>
      <c r="I11" s="178">
        <v>5894.1412236237202</v>
      </c>
      <c r="J11" s="178">
        <v>359.11823647294602</v>
      </c>
      <c r="K11" s="178">
        <v>701.40280561122199</v>
      </c>
      <c r="L11" s="178">
        <v>469.789579158317</v>
      </c>
      <c r="M11" s="179">
        <v>0.99555555555555597</v>
      </c>
      <c r="N11" s="179">
        <v>0.76442358963421098</v>
      </c>
      <c r="O11" s="180">
        <v>-0.235576410365789</v>
      </c>
      <c r="P11" s="177">
        <v>56.112224448897798</v>
      </c>
      <c r="Q11" s="181">
        <v>0.08</v>
      </c>
      <c r="R11" s="181">
        <v>0.15625</v>
      </c>
      <c r="S11" s="180">
        <v>2.9255976101960599E-2</v>
      </c>
    </row>
    <row r="12" spans="1:19" x14ac:dyDescent="0.25">
      <c r="B12" s="174" t="s">
        <v>575</v>
      </c>
      <c r="C12" s="174" t="s">
        <v>576</v>
      </c>
      <c r="D12" s="174" t="s">
        <v>577</v>
      </c>
      <c r="E12" s="175" t="s">
        <v>578</v>
      </c>
      <c r="F12" s="176">
        <v>11.5</v>
      </c>
      <c r="G12" s="177">
        <v>219.85</v>
      </c>
      <c r="H12" s="177">
        <v>225.631</v>
      </c>
      <c r="I12" s="178">
        <v>3297.7029793040701</v>
      </c>
      <c r="J12" s="178">
        <v>1639.67</v>
      </c>
      <c r="K12" s="178">
        <v>725</v>
      </c>
      <c r="L12" s="178">
        <v>1401</v>
      </c>
      <c r="M12" s="179">
        <v>1.1703568879371899</v>
      </c>
      <c r="N12" s="179">
        <v>1.1703568879371899</v>
      </c>
      <c r="O12" s="180">
        <v>0.17035688793718801</v>
      </c>
      <c r="P12" s="177">
        <v>364</v>
      </c>
      <c r="Q12" s="181">
        <v>0.50206896551724101</v>
      </c>
      <c r="R12" s="181">
        <v>0.22199588941677301</v>
      </c>
      <c r="S12" s="180">
        <v>0.14339848245775499</v>
      </c>
    </row>
    <row r="13" spans="1:19" x14ac:dyDescent="0.25">
      <c r="B13" s="202" t="s">
        <v>579</v>
      </c>
      <c r="C13" s="202"/>
      <c r="D13" s="202"/>
      <c r="E13" s="202"/>
      <c r="F13" s="202"/>
      <c r="G13" s="202"/>
      <c r="H13" s="202"/>
      <c r="I13" s="202"/>
      <c r="J13" s="202"/>
      <c r="K13" s="202"/>
      <c r="L13" s="202"/>
      <c r="M13" s="202"/>
      <c r="N13" s="202"/>
      <c r="O13" s="202"/>
      <c r="P13" s="202"/>
      <c r="Q13" s="202"/>
      <c r="R13" s="202"/>
      <c r="S13" s="202"/>
    </row>
    <row r="14" spans="1:19" x14ac:dyDescent="0.25">
      <c r="B14" s="174" t="s">
        <v>580</v>
      </c>
      <c r="C14" s="174" t="s">
        <v>581</v>
      </c>
      <c r="D14" s="174" t="s">
        <v>582</v>
      </c>
      <c r="E14" s="175" t="s">
        <v>583</v>
      </c>
      <c r="F14" s="176">
        <v>30</v>
      </c>
      <c r="G14" s="177">
        <v>20.047000000000001</v>
      </c>
      <c r="H14" s="177">
        <v>20.047000000000001</v>
      </c>
      <c r="I14" s="178">
        <v>22247.717863021899</v>
      </c>
      <c r="J14" s="178">
        <v>228.9</v>
      </c>
      <c r="K14" s="178">
        <v>446</v>
      </c>
      <c r="L14" s="178">
        <v>287.5</v>
      </c>
      <c r="M14" s="179">
        <v>2.2223300970873798</v>
      </c>
      <c r="N14" s="179">
        <v>0.79617391304347795</v>
      </c>
      <c r="O14" s="180">
        <v>-0.20382608695652199</v>
      </c>
      <c r="P14" s="177">
        <v>30</v>
      </c>
      <c r="Q14" s="181">
        <v>6.7264573991031404E-2</v>
      </c>
      <c r="R14" s="181">
        <v>0.13106159895150701</v>
      </c>
      <c r="S14" s="180"/>
    </row>
    <row r="15" spans="1:19" x14ac:dyDescent="0.25">
      <c r="B15" s="13" t="s">
        <v>584</v>
      </c>
      <c r="C15" s="13" t="s">
        <v>585</v>
      </c>
      <c r="D15" s="13" t="s">
        <v>582</v>
      </c>
      <c r="E15" s="3" t="s">
        <v>586</v>
      </c>
      <c r="F15" s="182"/>
      <c r="G15" s="183"/>
      <c r="H15" s="183"/>
      <c r="I15" s="184"/>
      <c r="J15" s="184"/>
      <c r="K15" s="184"/>
      <c r="L15" s="184"/>
      <c r="M15" s="185"/>
      <c r="N15" s="185"/>
      <c r="O15" s="165"/>
      <c r="P15" s="183"/>
      <c r="Q15" s="186"/>
      <c r="R15" s="186"/>
      <c r="S15" s="165"/>
    </row>
    <row r="16" spans="1:19" x14ac:dyDescent="0.25">
      <c r="B16" s="13" t="s">
        <v>587</v>
      </c>
      <c r="C16" s="13" t="s">
        <v>588</v>
      </c>
      <c r="D16" s="13" t="s">
        <v>582</v>
      </c>
      <c r="E16" s="3" t="s">
        <v>589</v>
      </c>
      <c r="F16" s="182"/>
      <c r="G16" s="183">
        <v>42.493000000000002</v>
      </c>
      <c r="H16" s="183">
        <v>42.493000000000002</v>
      </c>
      <c r="I16" s="184"/>
      <c r="J16" s="184"/>
      <c r="K16" s="184"/>
      <c r="L16" s="184"/>
      <c r="M16" s="185"/>
      <c r="N16" s="185"/>
      <c r="O16" s="165"/>
      <c r="P16" s="183">
        <v>36</v>
      </c>
      <c r="Q16" s="186"/>
      <c r="R16" s="186"/>
      <c r="S16" s="165"/>
    </row>
    <row r="17" spans="2:19" x14ac:dyDescent="0.25">
      <c r="B17" s="13" t="s">
        <v>590</v>
      </c>
      <c r="C17" s="13" t="s">
        <v>591</v>
      </c>
      <c r="D17" s="13" t="s">
        <v>592</v>
      </c>
      <c r="E17" s="3" t="s">
        <v>593</v>
      </c>
      <c r="F17" s="182">
        <v>2</v>
      </c>
      <c r="G17" s="183">
        <v>101</v>
      </c>
      <c r="H17" s="183">
        <v>101</v>
      </c>
      <c r="I17" s="184">
        <v>12775.471095496599</v>
      </c>
      <c r="J17" s="184">
        <v>502.83870967741899</v>
      </c>
      <c r="K17" s="184">
        <v>1290.3225806451601</v>
      </c>
      <c r="L17" s="184">
        <v>774.19354838709705</v>
      </c>
      <c r="M17" s="185">
        <v>0.64949999999999997</v>
      </c>
      <c r="N17" s="185">
        <v>0.64949999999999997</v>
      </c>
      <c r="O17" s="164">
        <v>-0.35049999999999998</v>
      </c>
      <c r="P17" s="183">
        <v>51.612903225806498</v>
      </c>
      <c r="Q17" s="186">
        <v>0.04</v>
      </c>
      <c r="R17" s="186">
        <v>0.102643058763151</v>
      </c>
      <c r="S17" s="165"/>
    </row>
    <row r="18" spans="2:19" x14ac:dyDescent="0.25">
      <c r="B18" s="13" t="s">
        <v>594</v>
      </c>
      <c r="C18" s="13" t="s">
        <v>595</v>
      </c>
      <c r="D18" s="13" t="s">
        <v>592</v>
      </c>
      <c r="E18" s="3" t="s">
        <v>596</v>
      </c>
      <c r="F18" s="182">
        <v>1.27</v>
      </c>
      <c r="G18" s="183">
        <v>50</v>
      </c>
      <c r="H18" s="183">
        <v>177.33199999999999</v>
      </c>
      <c r="I18" s="184"/>
      <c r="J18" s="184">
        <v>33.757419354838703</v>
      </c>
      <c r="K18" s="184"/>
      <c r="L18" s="184">
        <v>33.548387096774199</v>
      </c>
      <c r="M18" s="185">
        <v>1.0062307692307699</v>
      </c>
      <c r="N18" s="185">
        <v>1.0062307692307699</v>
      </c>
      <c r="O18" s="165">
        <v>6.2307692307692602E-3</v>
      </c>
      <c r="P18" s="183"/>
      <c r="Q18" s="186"/>
      <c r="R18" s="186"/>
      <c r="S18" s="165"/>
    </row>
    <row r="19" spans="2:19" x14ac:dyDescent="0.25">
      <c r="B19" s="202" t="s">
        <v>597</v>
      </c>
      <c r="C19" s="202"/>
      <c r="D19" s="202"/>
      <c r="E19" s="202"/>
      <c r="F19" s="202"/>
      <c r="G19" s="202"/>
      <c r="H19" s="202"/>
      <c r="I19" s="202"/>
      <c r="J19" s="202"/>
      <c r="K19" s="202"/>
      <c r="L19" s="202"/>
      <c r="M19" s="202"/>
      <c r="N19" s="202"/>
      <c r="O19" s="202"/>
      <c r="P19" s="202"/>
      <c r="Q19" s="202"/>
      <c r="R19" s="202"/>
      <c r="S19" s="202"/>
    </row>
    <row r="20" spans="2:19" x14ac:dyDescent="0.25">
      <c r="B20" s="13" t="s">
        <v>598</v>
      </c>
      <c r="C20" s="13" t="s">
        <v>599</v>
      </c>
      <c r="D20" s="13" t="s">
        <v>600</v>
      </c>
      <c r="E20" s="3" t="s">
        <v>601</v>
      </c>
      <c r="F20" s="182">
        <v>20.13</v>
      </c>
      <c r="G20" s="183">
        <v>54.3</v>
      </c>
      <c r="H20" s="183">
        <v>70.900000000000006</v>
      </c>
      <c r="I20" s="184"/>
      <c r="J20" s="184">
        <v>1052.799</v>
      </c>
      <c r="K20" s="184"/>
      <c r="L20" s="184">
        <v>450</v>
      </c>
      <c r="M20" s="185">
        <v>2.3395533333333298</v>
      </c>
      <c r="N20" s="185">
        <v>2.3395533333333298</v>
      </c>
      <c r="O20" s="187">
        <v>1.33955333333333</v>
      </c>
      <c r="P20" s="183"/>
      <c r="Q20" s="186"/>
      <c r="R20" s="186"/>
      <c r="S20" s="165"/>
    </row>
    <row r="21" spans="2:19" x14ac:dyDescent="0.25">
      <c r="B21" s="13" t="s">
        <v>602</v>
      </c>
      <c r="C21" s="13" t="s">
        <v>603</v>
      </c>
      <c r="D21" s="13" t="s">
        <v>600</v>
      </c>
      <c r="E21" s="3" t="s">
        <v>604</v>
      </c>
      <c r="F21" s="182">
        <v>22.53</v>
      </c>
      <c r="G21" s="183">
        <v>69.099999999999994</v>
      </c>
      <c r="H21" s="183">
        <v>75.2</v>
      </c>
      <c r="I21" s="184"/>
      <c r="J21" s="184">
        <v>900.74940000000004</v>
      </c>
      <c r="K21" s="184"/>
      <c r="L21" s="184">
        <v>558</v>
      </c>
      <c r="M21" s="185">
        <v>1.6142462365591399</v>
      </c>
      <c r="N21" s="185">
        <v>1.6142462365591399</v>
      </c>
      <c r="O21" s="187">
        <v>0.61424623655914001</v>
      </c>
      <c r="P21" s="183"/>
      <c r="Q21" s="186"/>
      <c r="R21" s="186"/>
      <c r="S21" s="165"/>
    </row>
    <row r="22" spans="2:19" x14ac:dyDescent="0.25">
      <c r="B22" s="13" t="s">
        <v>605</v>
      </c>
      <c r="C22" s="13" t="s">
        <v>606</v>
      </c>
      <c r="D22" s="13" t="s">
        <v>600</v>
      </c>
      <c r="E22" s="3" t="s">
        <v>607</v>
      </c>
      <c r="F22" s="182">
        <v>1.39</v>
      </c>
      <c r="G22" s="183">
        <v>37.5</v>
      </c>
      <c r="H22" s="183">
        <v>75</v>
      </c>
      <c r="I22" s="184"/>
      <c r="J22" s="184">
        <v>60.881999999999998</v>
      </c>
      <c r="K22" s="184"/>
      <c r="L22" s="184">
        <v>200</v>
      </c>
      <c r="M22" s="185">
        <v>0.30441000000000001</v>
      </c>
      <c r="N22" s="185">
        <v>0.30441000000000001</v>
      </c>
      <c r="O22" s="164">
        <v>-0.69559000000000004</v>
      </c>
      <c r="P22" s="183"/>
      <c r="Q22" s="186"/>
      <c r="R22" s="186"/>
      <c r="S22" s="165"/>
    </row>
    <row r="23" spans="2:19" x14ac:dyDescent="0.25">
      <c r="B23" s="13" t="s">
        <v>608</v>
      </c>
      <c r="C23" s="13" t="s">
        <v>609</v>
      </c>
      <c r="D23" s="13" t="s">
        <v>610</v>
      </c>
      <c r="E23" s="3" t="s">
        <v>611</v>
      </c>
      <c r="F23" s="182">
        <v>49.8</v>
      </c>
      <c r="G23" s="183">
        <v>50</v>
      </c>
      <c r="H23" s="183">
        <v>50</v>
      </c>
      <c r="I23" s="184"/>
      <c r="J23" s="184">
        <v>161.53076923076901</v>
      </c>
      <c r="K23" s="184"/>
      <c r="L23" s="184">
        <v>307.69230769230802</v>
      </c>
      <c r="M23" s="185">
        <v>0.52497499999999997</v>
      </c>
      <c r="N23" s="185">
        <v>0.52497499999999997</v>
      </c>
      <c r="O23" s="164">
        <v>-0.47502499999999998</v>
      </c>
      <c r="P23" s="183"/>
      <c r="Q23" s="186"/>
      <c r="R23" s="186"/>
      <c r="S23" s="165"/>
    </row>
    <row r="24" spans="2:19" x14ac:dyDescent="0.25">
      <c r="B24" s="13" t="s">
        <v>612</v>
      </c>
      <c r="C24" s="13" t="s">
        <v>613</v>
      </c>
      <c r="D24" s="13" t="s">
        <v>614</v>
      </c>
      <c r="E24" s="3" t="s">
        <v>615</v>
      </c>
      <c r="F24" s="182">
        <v>5.3E-3</v>
      </c>
      <c r="G24" s="183">
        <v>1.9</v>
      </c>
      <c r="H24" s="183">
        <v>26.363</v>
      </c>
      <c r="I24" s="184"/>
      <c r="J24" s="184">
        <v>6.77602150537634</v>
      </c>
      <c r="K24" s="184"/>
      <c r="L24" s="184">
        <v>8.6021505376344098</v>
      </c>
      <c r="M24" s="185">
        <v>0.78771250000000004</v>
      </c>
      <c r="N24" s="185">
        <v>0.78771250000000004</v>
      </c>
      <c r="O24" s="164">
        <v>-0.21228749999999999</v>
      </c>
      <c r="P24" s="183"/>
      <c r="Q24" s="186"/>
      <c r="R24" s="186"/>
      <c r="S24" s="165"/>
    </row>
    <row r="25" spans="2:19" x14ac:dyDescent="0.25">
      <c r="B25" s="13" t="s">
        <v>616</v>
      </c>
      <c r="C25" s="13" t="s">
        <v>617</v>
      </c>
      <c r="D25" s="13" t="s">
        <v>618</v>
      </c>
      <c r="E25" s="3" t="s">
        <v>619</v>
      </c>
      <c r="F25" s="182">
        <v>0.06</v>
      </c>
      <c r="G25" s="183"/>
      <c r="H25" s="183">
        <v>30</v>
      </c>
      <c r="I25" s="184"/>
      <c r="J25" s="184">
        <v>9.8709677419354804</v>
      </c>
      <c r="K25" s="184"/>
      <c r="L25" s="184"/>
      <c r="M25" s="185"/>
      <c r="N25" s="185"/>
      <c r="O25" s="165"/>
      <c r="P25" s="183"/>
      <c r="Q25" s="186"/>
      <c r="R25" s="186"/>
      <c r="S25" s="165"/>
    </row>
  </sheetData>
  <mergeCells count="6">
    <mergeCell ref="B19:S19"/>
    <mergeCell ref="B3:S3"/>
    <mergeCell ref="B5:S5"/>
    <mergeCell ref="B7:S7"/>
    <mergeCell ref="B9:S9"/>
    <mergeCell ref="B13:S13"/>
  </mergeCells>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9"/>
  <sheetViews>
    <sheetView showGridLines="0" zoomScaleNormal="100" workbookViewId="0">
      <pane ySplit="3" topLeftCell="A23" activePane="bottomLeft" state="frozen"/>
      <selection pane="bottomLeft" activeCell="B29" sqref="B29:C29"/>
    </sheetView>
  </sheetViews>
  <sheetFormatPr defaultColWidth="8.7109375" defaultRowHeight="15" x14ac:dyDescent="0.25"/>
  <cols>
    <col min="1" max="1" width="12" customWidth="1"/>
    <col min="2" max="2" width="60" customWidth="1"/>
    <col min="3" max="3" width="30" customWidth="1"/>
  </cols>
  <sheetData>
    <row r="1" spans="1:3" ht="15.75" customHeight="1" x14ac:dyDescent="0.25">
      <c r="A1" s="188" t="s">
        <v>620</v>
      </c>
    </row>
    <row r="2" spans="1:3" ht="15" customHeight="1" x14ac:dyDescent="0.25">
      <c r="A2" s="4" t="s">
        <v>621</v>
      </c>
    </row>
    <row r="4" spans="1:3" ht="15" customHeight="1" x14ac:dyDescent="0.25">
      <c r="A4" s="189" t="s">
        <v>545</v>
      </c>
      <c r="B4" s="189" t="s">
        <v>622</v>
      </c>
      <c r="C4" s="189" t="s">
        <v>623</v>
      </c>
    </row>
    <row r="5" spans="1:3" ht="15" customHeight="1" x14ac:dyDescent="0.25">
      <c r="A5" s="31" t="s">
        <v>564</v>
      </c>
      <c r="B5" s="6" t="s">
        <v>624</v>
      </c>
      <c r="C5" s="4" t="s">
        <v>625</v>
      </c>
    </row>
    <row r="6" spans="1:3" ht="15" customHeight="1" x14ac:dyDescent="0.25">
      <c r="A6" s="31" t="s">
        <v>564</v>
      </c>
      <c r="B6" s="6" t="s">
        <v>626</v>
      </c>
      <c r="C6" s="4" t="s">
        <v>627</v>
      </c>
    </row>
    <row r="7" spans="1:3" ht="15" customHeight="1" x14ac:dyDescent="0.25">
      <c r="A7" s="31" t="s">
        <v>564</v>
      </c>
      <c r="B7" s="6" t="s">
        <v>628</v>
      </c>
      <c r="C7" s="4" t="s">
        <v>629</v>
      </c>
    </row>
    <row r="8" spans="1:3" ht="15" customHeight="1" x14ac:dyDescent="0.25">
      <c r="A8" s="31" t="s">
        <v>564</v>
      </c>
      <c r="B8" s="6" t="s">
        <v>630</v>
      </c>
      <c r="C8" s="4" t="s">
        <v>631</v>
      </c>
    </row>
    <row r="9" spans="1:3" ht="15" customHeight="1" x14ac:dyDescent="0.25">
      <c r="A9" s="31" t="s">
        <v>632</v>
      </c>
      <c r="B9" s="6" t="s">
        <v>633</v>
      </c>
      <c r="C9" s="4" t="s">
        <v>634</v>
      </c>
    </row>
    <row r="10" spans="1:3" ht="15" customHeight="1" x14ac:dyDescent="0.25">
      <c r="A10" s="31" t="s">
        <v>632</v>
      </c>
      <c r="B10" s="6" t="s">
        <v>635</v>
      </c>
      <c r="C10" s="4" t="s">
        <v>636</v>
      </c>
    </row>
    <row r="11" spans="1:3" ht="15" customHeight="1" x14ac:dyDescent="0.25">
      <c r="A11" s="31" t="s">
        <v>569</v>
      </c>
      <c r="B11" s="6" t="s">
        <v>637</v>
      </c>
      <c r="C11" s="4" t="s">
        <v>638</v>
      </c>
    </row>
    <row r="12" spans="1:3" ht="15" customHeight="1" x14ac:dyDescent="0.25">
      <c r="A12" s="31" t="s">
        <v>639</v>
      </c>
      <c r="B12" s="6" t="s">
        <v>640</v>
      </c>
      <c r="C12" s="4" t="s">
        <v>641</v>
      </c>
    </row>
    <row r="13" spans="1:3" ht="15" customHeight="1" x14ac:dyDescent="0.25">
      <c r="A13" s="31" t="s">
        <v>587</v>
      </c>
      <c r="B13" s="6" t="s">
        <v>642</v>
      </c>
      <c r="C13" s="4" t="s">
        <v>643</v>
      </c>
    </row>
    <row r="14" spans="1:3" ht="15" customHeight="1" x14ac:dyDescent="0.25">
      <c r="A14" s="31" t="s">
        <v>644</v>
      </c>
      <c r="B14" s="6" t="s">
        <v>645</v>
      </c>
      <c r="C14" s="4" t="s">
        <v>646</v>
      </c>
    </row>
    <row r="15" spans="1:3" ht="15" customHeight="1" x14ac:dyDescent="0.25">
      <c r="A15" s="31" t="s">
        <v>575</v>
      </c>
      <c r="B15" s="6" t="s">
        <v>647</v>
      </c>
      <c r="C15" s="4" t="s">
        <v>648</v>
      </c>
    </row>
    <row r="16" spans="1:3" ht="15" customHeight="1" x14ac:dyDescent="0.25">
      <c r="A16" s="31" t="s">
        <v>649</v>
      </c>
      <c r="B16" s="6" t="s">
        <v>650</v>
      </c>
      <c r="C16" s="4" t="s">
        <v>651</v>
      </c>
    </row>
    <row r="17" spans="1:3" ht="15" customHeight="1" x14ac:dyDescent="0.25">
      <c r="A17" s="31" t="s">
        <v>652</v>
      </c>
      <c r="B17" s="6" t="s">
        <v>672</v>
      </c>
      <c r="C17" s="4" t="s">
        <v>653</v>
      </c>
    </row>
    <row r="20" spans="1:3" ht="15" customHeight="1" x14ac:dyDescent="0.25">
      <c r="A20" s="204" t="s">
        <v>654</v>
      </c>
      <c r="B20" s="204"/>
      <c r="C20" s="204"/>
    </row>
    <row r="22" spans="1:3" ht="49.5" customHeight="1" x14ac:dyDescent="0.25">
      <c r="A22" s="190" t="s">
        <v>655</v>
      </c>
      <c r="B22" s="203" t="s">
        <v>656</v>
      </c>
      <c r="C22" s="203"/>
    </row>
    <row r="23" spans="1:3" ht="49.5" customHeight="1" x14ac:dyDescent="0.25">
      <c r="A23" s="190" t="s">
        <v>200</v>
      </c>
      <c r="B23" s="203" t="s">
        <v>657</v>
      </c>
      <c r="C23" s="203"/>
    </row>
    <row r="24" spans="1:3" ht="49.5" customHeight="1" x14ac:dyDescent="0.25">
      <c r="A24" s="190" t="s">
        <v>658</v>
      </c>
      <c r="B24" s="203" t="s">
        <v>659</v>
      </c>
      <c r="C24" s="203"/>
    </row>
    <row r="25" spans="1:3" ht="49.5" customHeight="1" x14ac:dyDescent="0.25">
      <c r="A25" s="190" t="s">
        <v>660</v>
      </c>
      <c r="B25" s="203" t="s">
        <v>661</v>
      </c>
      <c r="C25" s="203"/>
    </row>
    <row r="26" spans="1:3" ht="49.5" customHeight="1" x14ac:dyDescent="0.25">
      <c r="A26" s="190" t="s">
        <v>662</v>
      </c>
      <c r="B26" s="203" t="s">
        <v>663</v>
      </c>
      <c r="C26" s="203"/>
    </row>
    <row r="27" spans="1:3" ht="49.5" customHeight="1" x14ac:dyDescent="0.25">
      <c r="A27" s="190" t="s">
        <v>664</v>
      </c>
      <c r="B27" s="203" t="s">
        <v>665</v>
      </c>
      <c r="C27" s="203"/>
    </row>
    <row r="28" spans="1:3" ht="49.5" customHeight="1" x14ac:dyDescent="0.25">
      <c r="A28" s="190" t="s">
        <v>666</v>
      </c>
      <c r="B28" s="203" t="s">
        <v>673</v>
      </c>
      <c r="C28" s="203"/>
    </row>
    <row r="29" spans="1:3" ht="49.5" customHeight="1" x14ac:dyDescent="0.25">
      <c r="A29" s="190" t="s">
        <v>667</v>
      </c>
      <c r="B29" s="203" t="s">
        <v>668</v>
      </c>
      <c r="C29" s="203"/>
    </row>
  </sheetData>
  <mergeCells count="9">
    <mergeCell ref="B26:C26"/>
    <mergeCell ref="B27:C27"/>
    <mergeCell ref="B28:C28"/>
    <mergeCell ref="B29:C29"/>
    <mergeCell ref="A20:C20"/>
    <mergeCell ref="B22:C22"/>
    <mergeCell ref="B23:C23"/>
    <mergeCell ref="B24:C24"/>
    <mergeCell ref="B25:C25"/>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3"/>
  <sheetViews>
    <sheetView showGridLines="0" zoomScaleNormal="100" workbookViewId="0">
      <pane xSplit="2" ySplit="4" topLeftCell="C20" activePane="bottomRight" state="frozen"/>
      <selection pane="topRight" activeCell="C1" sqref="C1"/>
      <selection pane="bottomLeft" activeCell="A5" sqref="A5"/>
      <selection pane="bottomRight"/>
    </sheetView>
  </sheetViews>
  <sheetFormatPr defaultColWidth="8.7109375" defaultRowHeight="15" x14ac:dyDescent="0.25"/>
  <cols>
    <col min="1" max="1" width="2" customWidth="1"/>
    <col min="2" max="2" width="38" customWidth="1"/>
    <col min="3" max="15" width="13" customWidth="1"/>
  </cols>
  <sheetData>
    <row r="1" spans="1:5" ht="15" customHeight="1" x14ac:dyDescent="0.25">
      <c r="A1" s="25" t="s">
        <v>1</v>
      </c>
    </row>
    <row r="2" spans="1:5" ht="17.25" customHeight="1" x14ac:dyDescent="0.25">
      <c r="A2" s="26" t="s">
        <v>40</v>
      </c>
      <c r="B2" s="27" t="s">
        <v>41</v>
      </c>
      <c r="C2" s="28" t="s">
        <v>42</v>
      </c>
      <c r="D2" s="29" t="s">
        <v>43</v>
      </c>
      <c r="E2" s="30" t="s">
        <v>44</v>
      </c>
    </row>
    <row r="5" spans="1:5" ht="15" customHeight="1" x14ac:dyDescent="0.25">
      <c r="B5" s="24" t="s">
        <v>45</v>
      </c>
    </row>
    <row r="6" spans="1:5" ht="15" customHeight="1" x14ac:dyDescent="0.25">
      <c r="B6" s="31" t="s">
        <v>46</v>
      </c>
      <c r="C6" s="32">
        <v>3</v>
      </c>
      <c r="D6" s="33" t="str">
        <f>INDEX($C$25:$G$25,1,$C$6)</f>
        <v>Base</v>
      </c>
    </row>
    <row r="8" spans="1:5" ht="15" customHeight="1" x14ac:dyDescent="0.25">
      <c r="B8" s="24" t="s">
        <v>47</v>
      </c>
    </row>
    <row r="9" spans="1:5" ht="15" customHeight="1" x14ac:dyDescent="0.25">
      <c r="B9" s="24" t="s">
        <v>43</v>
      </c>
      <c r="C9" s="34" t="s">
        <v>48</v>
      </c>
    </row>
    <row r="10" spans="1:5" ht="15" customHeight="1" x14ac:dyDescent="0.25">
      <c r="B10" s="6" t="s">
        <v>49</v>
      </c>
      <c r="C10" s="35">
        <f t="shared" ref="C10:C21" si="0">INDEX(C33:G33,1,$C$6)</f>
        <v>140</v>
      </c>
    </row>
    <row r="11" spans="1:5" ht="15" customHeight="1" x14ac:dyDescent="0.25">
      <c r="B11" s="6" t="s">
        <v>50</v>
      </c>
      <c r="C11" s="35">
        <f t="shared" si="0"/>
        <v>22</v>
      </c>
    </row>
    <row r="12" spans="1:5" ht="15" customHeight="1" x14ac:dyDescent="0.25">
      <c r="B12" s="6" t="s">
        <v>51</v>
      </c>
      <c r="C12" s="35">
        <f t="shared" si="0"/>
        <v>72</v>
      </c>
    </row>
    <row r="13" spans="1:5" ht="15" customHeight="1" x14ac:dyDescent="0.25">
      <c r="B13" s="6" t="s">
        <v>52</v>
      </c>
      <c r="C13" s="36">
        <f t="shared" si="0"/>
        <v>0.02</v>
      </c>
    </row>
    <row r="14" spans="1:5" ht="15" customHeight="1" x14ac:dyDescent="0.25">
      <c r="B14" s="6" t="s">
        <v>53</v>
      </c>
      <c r="C14" s="35">
        <f t="shared" si="0"/>
        <v>3</v>
      </c>
    </row>
    <row r="15" spans="1:5" ht="15" customHeight="1" x14ac:dyDescent="0.25">
      <c r="B15" s="6" t="s">
        <v>54</v>
      </c>
      <c r="C15" s="36">
        <f t="shared" si="0"/>
        <v>0.55000000000000004</v>
      </c>
    </row>
    <row r="16" spans="1:5" ht="15" customHeight="1" x14ac:dyDescent="0.25">
      <c r="B16" s="6" t="s">
        <v>55</v>
      </c>
      <c r="C16" s="36">
        <f t="shared" si="0"/>
        <v>0.14000000000000001</v>
      </c>
    </row>
    <row r="17" spans="2:7" ht="15" customHeight="1" x14ac:dyDescent="0.25">
      <c r="B17" s="6" t="s">
        <v>56</v>
      </c>
      <c r="C17" s="36">
        <f t="shared" si="0"/>
        <v>0.08</v>
      </c>
    </row>
    <row r="18" spans="2:7" ht="15" customHeight="1" x14ac:dyDescent="0.25">
      <c r="B18" s="6" t="s">
        <v>57</v>
      </c>
      <c r="C18" s="36">
        <f t="shared" si="0"/>
        <v>0.06</v>
      </c>
    </row>
    <row r="19" spans="2:7" ht="15" customHeight="1" x14ac:dyDescent="0.25">
      <c r="B19" s="6" t="s">
        <v>58</v>
      </c>
      <c r="C19" s="36">
        <f t="shared" si="0"/>
        <v>0.14000000000000001</v>
      </c>
    </row>
    <row r="20" spans="2:7" ht="15" customHeight="1" x14ac:dyDescent="0.25">
      <c r="B20" s="6" t="s">
        <v>59</v>
      </c>
      <c r="C20" s="36">
        <f t="shared" si="0"/>
        <v>0.08</v>
      </c>
    </row>
    <row r="21" spans="2:7" ht="15" customHeight="1" x14ac:dyDescent="0.25">
      <c r="B21" s="6" t="s">
        <v>60</v>
      </c>
      <c r="C21" s="36">
        <f t="shared" si="0"/>
        <v>0.08</v>
      </c>
    </row>
    <row r="24" spans="2:7" ht="15" customHeight="1" x14ac:dyDescent="0.25">
      <c r="B24" s="24" t="s">
        <v>61</v>
      </c>
    </row>
    <row r="25" spans="2:7" ht="15" customHeight="1" x14ac:dyDescent="0.25">
      <c r="B25" s="31"/>
      <c r="C25" s="37" t="s">
        <v>62</v>
      </c>
      <c r="D25" s="37" t="s">
        <v>63</v>
      </c>
      <c r="E25" s="37" t="s">
        <v>64</v>
      </c>
      <c r="F25" s="37" t="s">
        <v>65</v>
      </c>
      <c r="G25" s="37" t="s">
        <v>66</v>
      </c>
    </row>
    <row r="26" spans="2:7" ht="15" customHeight="1" x14ac:dyDescent="0.25">
      <c r="B26" s="31" t="s">
        <v>67</v>
      </c>
      <c r="C26" s="38">
        <v>1</v>
      </c>
      <c r="D26" s="38">
        <v>2</v>
      </c>
      <c r="E26" s="38">
        <v>3</v>
      </c>
      <c r="F26" s="38">
        <v>4</v>
      </c>
      <c r="G26" s="38">
        <v>5</v>
      </c>
    </row>
    <row r="27" spans="2:7" ht="15" customHeight="1" x14ac:dyDescent="0.25">
      <c r="B27" s="6" t="s">
        <v>68</v>
      </c>
      <c r="C27" s="39">
        <v>0.1</v>
      </c>
      <c r="D27" s="39">
        <v>0.15</v>
      </c>
      <c r="E27" s="39">
        <v>0.35</v>
      </c>
      <c r="F27" s="39">
        <v>0.3</v>
      </c>
      <c r="G27" s="39">
        <v>0.1</v>
      </c>
    </row>
    <row r="28" spans="2:7" ht="15" customHeight="1" x14ac:dyDescent="0.25">
      <c r="B28" s="4" t="s">
        <v>69</v>
      </c>
      <c r="C28" s="40">
        <f>SUM(C27:G27)</f>
        <v>0.99999999999999989</v>
      </c>
    </row>
    <row r="29" spans="2:7" ht="60" customHeight="1" x14ac:dyDescent="0.25">
      <c r="B29" s="41" t="s">
        <v>70</v>
      </c>
      <c r="C29" s="5" t="s">
        <v>71</v>
      </c>
      <c r="D29" s="5" t="s">
        <v>72</v>
      </c>
      <c r="E29" s="5" t="s">
        <v>73</v>
      </c>
      <c r="F29" s="5" t="s">
        <v>74</v>
      </c>
      <c r="G29" s="5" t="s">
        <v>75</v>
      </c>
    </row>
    <row r="30" spans="2:7" ht="49.5" customHeight="1" x14ac:dyDescent="0.25">
      <c r="B30" s="41" t="s">
        <v>76</v>
      </c>
      <c r="C30" s="5" t="s">
        <v>77</v>
      </c>
      <c r="D30" s="5" t="s">
        <v>78</v>
      </c>
      <c r="E30" s="5" t="s">
        <v>79</v>
      </c>
      <c r="F30" s="5" t="s">
        <v>80</v>
      </c>
      <c r="G30" s="5" t="s">
        <v>81</v>
      </c>
    </row>
    <row r="32" spans="2:7" ht="15" customHeight="1" x14ac:dyDescent="0.25">
      <c r="B32" s="24" t="s">
        <v>82</v>
      </c>
    </row>
    <row r="33" spans="2:8" ht="15" customHeight="1" x14ac:dyDescent="0.25">
      <c r="B33" s="6" t="s">
        <v>49</v>
      </c>
      <c r="C33" s="42">
        <v>120</v>
      </c>
      <c r="D33" s="42">
        <v>130</v>
      </c>
      <c r="E33" s="42">
        <v>140</v>
      </c>
      <c r="F33" s="42">
        <v>150</v>
      </c>
      <c r="G33" s="42">
        <v>160</v>
      </c>
    </row>
    <row r="34" spans="2:8" ht="15" customHeight="1" x14ac:dyDescent="0.25">
      <c r="B34" s="6" t="s">
        <v>50</v>
      </c>
      <c r="C34" s="42">
        <v>20.5</v>
      </c>
      <c r="D34" s="42">
        <v>21.25</v>
      </c>
      <c r="E34" s="42">
        <v>22</v>
      </c>
      <c r="F34" s="42">
        <v>23</v>
      </c>
      <c r="G34" s="42">
        <v>24</v>
      </c>
    </row>
    <row r="35" spans="2:8" ht="15" customHeight="1" x14ac:dyDescent="0.25">
      <c r="B35" s="6" t="s">
        <v>51</v>
      </c>
      <c r="C35" s="42">
        <v>65</v>
      </c>
      <c r="D35" s="42">
        <v>68</v>
      </c>
      <c r="E35" s="42">
        <v>72</v>
      </c>
      <c r="F35" s="42">
        <v>76</v>
      </c>
      <c r="G35" s="42">
        <v>79</v>
      </c>
    </row>
    <row r="36" spans="2:8" ht="15" customHeight="1" x14ac:dyDescent="0.25">
      <c r="B36" s="6" t="s">
        <v>52</v>
      </c>
      <c r="C36" s="39">
        <v>0.04</v>
      </c>
      <c r="D36" s="39">
        <v>0.03</v>
      </c>
      <c r="E36" s="39">
        <v>0.02</v>
      </c>
      <c r="F36" s="39">
        <v>0.01</v>
      </c>
      <c r="G36" s="39">
        <v>0.01</v>
      </c>
    </row>
    <row r="37" spans="2:8" ht="15" customHeight="1" x14ac:dyDescent="0.25">
      <c r="B37" s="6" t="s">
        <v>53</v>
      </c>
      <c r="C37" s="42">
        <v>4</v>
      </c>
      <c r="D37" s="42">
        <v>4</v>
      </c>
      <c r="E37" s="42">
        <v>3</v>
      </c>
      <c r="F37" s="42">
        <v>2</v>
      </c>
      <c r="G37" s="42">
        <v>2</v>
      </c>
    </row>
    <row r="38" spans="2:8" ht="15" customHeight="1" x14ac:dyDescent="0.25">
      <c r="B38" s="6" t="s">
        <v>54</v>
      </c>
      <c r="C38" s="39">
        <v>0.4</v>
      </c>
      <c r="D38" s="39">
        <v>0.45</v>
      </c>
      <c r="E38" s="39">
        <v>0.55000000000000004</v>
      </c>
      <c r="F38" s="39">
        <v>0.65</v>
      </c>
      <c r="G38" s="39">
        <v>0.75</v>
      </c>
    </row>
    <row r="39" spans="2:8" ht="15" customHeight="1" x14ac:dyDescent="0.25">
      <c r="B39" s="6" t="s">
        <v>55</v>
      </c>
      <c r="C39" s="39">
        <v>0.14000000000000001</v>
      </c>
      <c r="D39" s="39">
        <v>0.14000000000000001</v>
      </c>
      <c r="E39" s="39">
        <v>0.14000000000000001</v>
      </c>
      <c r="F39" s="39">
        <v>0.14000000000000001</v>
      </c>
      <c r="G39" s="39">
        <v>0.14000000000000001</v>
      </c>
    </row>
    <row r="40" spans="2:8" ht="15" customHeight="1" x14ac:dyDescent="0.25">
      <c r="B40" s="6" t="s">
        <v>56</v>
      </c>
      <c r="C40" s="39">
        <v>0.04</v>
      </c>
      <c r="D40" s="39">
        <v>0.06</v>
      </c>
      <c r="E40" s="39">
        <v>0.08</v>
      </c>
      <c r="F40" s="39">
        <v>0.1</v>
      </c>
      <c r="G40" s="39">
        <v>0.12</v>
      </c>
    </row>
    <row r="41" spans="2:8" ht="15" customHeight="1" x14ac:dyDescent="0.25">
      <c r="B41" s="6" t="s">
        <v>57</v>
      </c>
      <c r="C41" s="39">
        <v>0.04</v>
      </c>
      <c r="D41" s="39">
        <v>0.04</v>
      </c>
      <c r="E41" s="39">
        <v>0.06</v>
      </c>
      <c r="F41" s="39">
        <v>0.08</v>
      </c>
      <c r="G41" s="39">
        <v>0.08</v>
      </c>
    </row>
    <row r="42" spans="2:8" ht="15" customHeight="1" x14ac:dyDescent="0.25">
      <c r="B42" s="6" t="s">
        <v>58</v>
      </c>
      <c r="C42" s="39">
        <v>0.14000000000000001</v>
      </c>
      <c r="D42" s="39">
        <v>0.14000000000000001</v>
      </c>
      <c r="E42" s="39">
        <v>0.14000000000000001</v>
      </c>
      <c r="F42" s="39">
        <v>0.14000000000000001</v>
      </c>
      <c r="G42" s="39">
        <v>0.14000000000000001</v>
      </c>
    </row>
    <row r="43" spans="2:8" ht="15" customHeight="1" x14ac:dyDescent="0.25">
      <c r="B43" s="6" t="s">
        <v>59</v>
      </c>
      <c r="C43" s="39">
        <v>0.06</v>
      </c>
      <c r="D43" s="39">
        <v>0.06</v>
      </c>
      <c r="E43" s="39">
        <v>0.08</v>
      </c>
      <c r="F43" s="39">
        <v>0.1</v>
      </c>
      <c r="G43" s="39">
        <v>0.12</v>
      </c>
    </row>
    <row r="44" spans="2:8" ht="15" customHeight="1" x14ac:dyDescent="0.25">
      <c r="B44" s="6" t="s">
        <v>60</v>
      </c>
      <c r="C44" s="39">
        <v>0.06</v>
      </c>
      <c r="D44" s="39">
        <v>0.06</v>
      </c>
      <c r="E44" s="39">
        <v>0.08</v>
      </c>
      <c r="F44" s="39">
        <v>0.1</v>
      </c>
      <c r="G44" s="39">
        <v>0.12</v>
      </c>
    </row>
    <row r="48" spans="2:8" ht="21.75" customHeight="1" x14ac:dyDescent="0.25">
      <c r="B48" s="2" t="s">
        <v>83</v>
      </c>
      <c r="C48" s="43"/>
      <c r="D48" s="43"/>
      <c r="E48" s="43"/>
      <c r="F48" s="43"/>
      <c r="G48" s="43"/>
      <c r="H48" s="43"/>
    </row>
    <row r="50" spans="2:3" ht="15" customHeight="1" x14ac:dyDescent="0.25">
      <c r="B50" s="44" t="s">
        <v>84</v>
      </c>
      <c r="C50" s="45">
        <v>0</v>
      </c>
    </row>
    <row r="51" spans="2:3" ht="15" customHeight="1" x14ac:dyDescent="0.25">
      <c r="B51" s="44" t="s">
        <v>85</v>
      </c>
      <c r="C51" s="45">
        <v>-0.5</v>
      </c>
    </row>
    <row r="52" spans="2:3" ht="15" customHeight="1" x14ac:dyDescent="0.25">
      <c r="B52" s="44" t="s">
        <v>86</v>
      </c>
      <c r="C52" s="45">
        <v>3.5</v>
      </c>
    </row>
    <row r="53" spans="2:3" ht="15" customHeight="1" x14ac:dyDescent="0.25">
      <c r="B53" s="44" t="s">
        <v>87</v>
      </c>
      <c r="C53" s="45">
        <v>-3.5</v>
      </c>
    </row>
    <row r="54" spans="2:3" ht="15" customHeight="1" x14ac:dyDescent="0.25">
      <c r="B54" s="44" t="s">
        <v>88</v>
      </c>
      <c r="C54" s="46">
        <v>4.4999999999999998E-2</v>
      </c>
    </row>
    <row r="55" spans="2:3" ht="15" customHeight="1" x14ac:dyDescent="0.25">
      <c r="B55" s="44" t="s">
        <v>89</v>
      </c>
      <c r="C55" s="46">
        <v>0.14000000000000001</v>
      </c>
    </row>
    <row r="56" spans="2:3" ht="15" customHeight="1" x14ac:dyDescent="0.25">
      <c r="B56" s="44" t="s">
        <v>90</v>
      </c>
      <c r="C56" s="46">
        <v>0.28000000000000003</v>
      </c>
    </row>
    <row r="57" spans="2:3" ht="15" customHeight="1" x14ac:dyDescent="0.25">
      <c r="B57" s="44" t="s">
        <v>91</v>
      </c>
      <c r="C57" s="45">
        <v>0</v>
      </c>
    </row>
    <row r="58" spans="2:3" ht="15" customHeight="1" x14ac:dyDescent="0.25">
      <c r="B58" s="44" t="s">
        <v>92</v>
      </c>
      <c r="C58" s="47">
        <v>596</v>
      </c>
    </row>
    <row r="59" spans="2:3" ht="15" customHeight="1" x14ac:dyDescent="0.25">
      <c r="B59" s="44" t="s">
        <v>93</v>
      </c>
      <c r="C59" s="45">
        <v>27</v>
      </c>
    </row>
    <row r="60" spans="2:3" ht="15" customHeight="1" x14ac:dyDescent="0.25">
      <c r="B60" s="44" t="s">
        <v>94</v>
      </c>
      <c r="C60" s="45">
        <v>21</v>
      </c>
    </row>
    <row r="61" spans="2:3" ht="15" customHeight="1" x14ac:dyDescent="0.25">
      <c r="B61" s="44" t="s">
        <v>95</v>
      </c>
      <c r="C61" s="45">
        <v>0</v>
      </c>
    </row>
    <row r="62" spans="2:3" ht="15" customHeight="1" x14ac:dyDescent="0.25">
      <c r="B62" s="44" t="s">
        <v>96</v>
      </c>
      <c r="C62" s="45">
        <v>0</v>
      </c>
    </row>
    <row r="63" spans="2:3" ht="15" customHeight="1" x14ac:dyDescent="0.25">
      <c r="B63" s="44" t="s">
        <v>97</v>
      </c>
      <c r="C63" s="45">
        <v>0</v>
      </c>
    </row>
    <row r="64" spans="2:3" ht="15" customHeight="1" x14ac:dyDescent="0.25">
      <c r="B64" s="44" t="s">
        <v>98</v>
      </c>
      <c r="C64" s="47">
        <v>65000</v>
      </c>
    </row>
    <row r="65" spans="2:8" ht="15" customHeight="1" x14ac:dyDescent="0.25">
      <c r="B65" s="44" t="s">
        <v>99</v>
      </c>
      <c r="C65" s="47">
        <v>11500</v>
      </c>
    </row>
    <row r="66" spans="2:8" ht="15" customHeight="1" x14ac:dyDescent="0.25">
      <c r="B66" s="44" t="s">
        <v>100</v>
      </c>
      <c r="C66" s="46">
        <v>0.1245</v>
      </c>
    </row>
    <row r="67" spans="2:8" ht="15" customHeight="1" x14ac:dyDescent="0.25">
      <c r="B67" s="44" t="s">
        <v>101</v>
      </c>
      <c r="C67" s="46">
        <v>0.04</v>
      </c>
    </row>
    <row r="68" spans="2:8" ht="15" customHeight="1" x14ac:dyDescent="0.25">
      <c r="B68" s="44" t="s">
        <v>102</v>
      </c>
      <c r="C68" s="48">
        <v>2046</v>
      </c>
    </row>
    <row r="69" spans="2:8" ht="15" customHeight="1" x14ac:dyDescent="0.25">
      <c r="B69" s="44" t="s">
        <v>103</v>
      </c>
      <c r="C69" s="49">
        <v>96.206999999999994</v>
      </c>
    </row>
    <row r="70" spans="2:8" ht="15" customHeight="1" x14ac:dyDescent="0.25">
      <c r="B70" s="44" t="s">
        <v>104</v>
      </c>
      <c r="C70" s="46">
        <v>0.01</v>
      </c>
    </row>
    <row r="73" spans="2:8" ht="64.5" customHeight="1" x14ac:dyDescent="0.25">
      <c r="B73" s="192" t="s">
        <v>105</v>
      </c>
      <c r="C73" s="192"/>
      <c r="D73" s="192"/>
      <c r="E73" s="192"/>
      <c r="F73" s="192"/>
      <c r="G73" s="192"/>
      <c r="H73" s="192"/>
    </row>
  </sheetData>
  <mergeCells count="1">
    <mergeCell ref="B73:H73"/>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2"/>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7109375" defaultRowHeight="15" x14ac:dyDescent="0.25"/>
  <cols>
    <col min="1" max="1" width="2" customWidth="1"/>
    <col min="2" max="2" width="44" customWidth="1"/>
    <col min="3" max="15" width="11" customWidth="1"/>
  </cols>
  <sheetData>
    <row r="1" spans="1:13" ht="15" customHeight="1" x14ac:dyDescent="0.25">
      <c r="A1" s="25" t="s">
        <v>1</v>
      </c>
    </row>
    <row r="2" spans="1:13" ht="17.25" customHeight="1" x14ac:dyDescent="0.25">
      <c r="A2" s="26" t="s">
        <v>40</v>
      </c>
      <c r="B2" s="27" t="s">
        <v>106</v>
      </c>
      <c r="C2" s="28" t="s">
        <v>42</v>
      </c>
      <c r="D2" s="29" t="s">
        <v>43</v>
      </c>
      <c r="E2" s="30" t="s">
        <v>44</v>
      </c>
    </row>
    <row r="3" spans="1:13" ht="15" customHeight="1" x14ac:dyDescent="0.25">
      <c r="B3" s="191" t="s">
        <v>107</v>
      </c>
      <c r="C3" s="191"/>
      <c r="D3" s="191"/>
      <c r="E3" s="191"/>
      <c r="F3" s="191"/>
      <c r="G3" s="191"/>
      <c r="H3" s="191"/>
      <c r="I3" s="191"/>
      <c r="J3" s="191"/>
      <c r="K3" s="191"/>
      <c r="L3" s="191"/>
      <c r="M3" s="191"/>
    </row>
    <row r="5" spans="1:13" ht="15" customHeight="1" x14ac:dyDescent="0.25">
      <c r="B5" s="4"/>
      <c r="C5" s="50" t="s">
        <v>108</v>
      </c>
      <c r="D5" s="50" t="s">
        <v>109</v>
      </c>
      <c r="E5" s="50" t="s">
        <v>110</v>
      </c>
      <c r="F5" s="50" t="s">
        <v>111</v>
      </c>
      <c r="G5" s="51" t="s">
        <v>112</v>
      </c>
      <c r="H5" s="51" t="s">
        <v>113</v>
      </c>
      <c r="I5" s="51" t="s">
        <v>114</v>
      </c>
      <c r="J5" s="51" t="s">
        <v>115</v>
      </c>
      <c r="K5" s="51" t="s">
        <v>116</v>
      </c>
      <c r="L5" s="51" t="s">
        <v>117</v>
      </c>
    </row>
    <row r="6" spans="1:13" ht="15" customHeight="1" x14ac:dyDescent="0.25">
      <c r="B6" s="4" t="s">
        <v>118</v>
      </c>
      <c r="C6" s="52" t="str">
        <f>Assumptions!$D$6</f>
        <v>Base</v>
      </c>
    </row>
    <row r="8" spans="1:13" ht="21.75" customHeight="1" x14ac:dyDescent="0.25">
      <c r="B8" s="2" t="s">
        <v>119</v>
      </c>
      <c r="C8" s="43"/>
      <c r="D8" s="43"/>
      <c r="E8" s="43"/>
      <c r="F8" s="43"/>
      <c r="G8" s="43"/>
      <c r="H8" s="43"/>
      <c r="I8" s="43"/>
      <c r="J8" s="43"/>
      <c r="K8" s="43"/>
      <c r="L8" s="43"/>
    </row>
    <row r="10" spans="1:13" ht="15" customHeight="1" x14ac:dyDescent="0.25">
      <c r="B10" s="44" t="s">
        <v>120</v>
      </c>
      <c r="C10" s="53">
        <v>80200</v>
      </c>
    </row>
    <row r="11" spans="1:13" ht="15" customHeight="1" x14ac:dyDescent="0.25">
      <c r="B11" s="44" t="s">
        <v>121</v>
      </c>
      <c r="C11" s="53">
        <v>39099</v>
      </c>
    </row>
    <row r="12" spans="1:13" ht="15" customHeight="1" x14ac:dyDescent="0.25">
      <c r="B12" s="44" t="s">
        <v>122</v>
      </c>
      <c r="C12" s="54">
        <v>41101</v>
      </c>
    </row>
    <row r="13" spans="1:13" ht="15" customHeight="1" x14ac:dyDescent="0.25">
      <c r="B13" s="44" t="s">
        <v>123</v>
      </c>
      <c r="C13" s="53">
        <v>-4570</v>
      </c>
    </row>
    <row r="16" spans="1:13" ht="21.75" customHeight="1" x14ac:dyDescent="0.25">
      <c r="B16" s="2" t="s">
        <v>124</v>
      </c>
      <c r="C16" s="43"/>
      <c r="D16" s="43"/>
      <c r="E16" s="43"/>
      <c r="F16" s="43"/>
      <c r="G16" s="43"/>
      <c r="H16" s="43"/>
      <c r="I16" s="43"/>
      <c r="J16" s="43"/>
      <c r="K16" s="43"/>
      <c r="L16" s="43"/>
    </row>
    <row r="18" spans="2:12" ht="15" customHeight="1" x14ac:dyDescent="0.25">
      <c r="B18" s="44" t="s">
        <v>125</v>
      </c>
      <c r="C18" s="195" t="s">
        <v>126</v>
      </c>
      <c r="D18" s="195"/>
      <c r="E18" s="195"/>
      <c r="F18" s="195"/>
      <c r="G18" s="195"/>
      <c r="H18" s="195"/>
    </row>
    <row r="19" spans="2:12" ht="15" customHeight="1" x14ac:dyDescent="0.25">
      <c r="B19" s="44" t="s">
        <v>127</v>
      </c>
      <c r="C19" s="195" t="s">
        <v>128</v>
      </c>
      <c r="D19" s="195"/>
      <c r="E19" s="195"/>
      <c r="F19" s="195"/>
      <c r="G19" s="195"/>
      <c r="H19" s="195"/>
    </row>
    <row r="20" spans="2:12" ht="15" customHeight="1" x14ac:dyDescent="0.25">
      <c r="B20" s="44" t="s">
        <v>129</v>
      </c>
      <c r="C20" s="195" t="s">
        <v>130</v>
      </c>
      <c r="D20" s="195"/>
      <c r="E20" s="195"/>
      <c r="F20" s="195"/>
      <c r="G20" s="195"/>
      <c r="H20" s="195"/>
    </row>
    <row r="21" spans="2:12" ht="15" customHeight="1" x14ac:dyDescent="0.25">
      <c r="B21" s="44" t="s">
        <v>131</v>
      </c>
      <c r="C21" s="195" t="s">
        <v>132</v>
      </c>
      <c r="D21" s="195"/>
      <c r="E21" s="195"/>
      <c r="F21" s="195"/>
      <c r="G21" s="195"/>
      <c r="H21" s="195"/>
    </row>
    <row r="22" spans="2:12" ht="15" customHeight="1" x14ac:dyDescent="0.25">
      <c r="B22" s="44" t="s">
        <v>133</v>
      </c>
      <c r="C22" s="195" t="s">
        <v>134</v>
      </c>
      <c r="D22" s="195"/>
      <c r="E22" s="195"/>
      <c r="F22" s="195"/>
      <c r="G22" s="195"/>
      <c r="H22" s="195"/>
    </row>
    <row r="23" spans="2:12" ht="15" customHeight="1" x14ac:dyDescent="0.25">
      <c r="B23" s="44" t="s">
        <v>135</v>
      </c>
      <c r="C23" s="195" t="s">
        <v>136</v>
      </c>
      <c r="D23" s="195"/>
      <c r="E23" s="195"/>
      <c r="F23" s="195"/>
      <c r="G23" s="195"/>
      <c r="H23" s="195"/>
    </row>
    <row r="26" spans="2:12" ht="21.75" customHeight="1" x14ac:dyDescent="0.25">
      <c r="B26" s="2" t="s">
        <v>137</v>
      </c>
      <c r="C26" s="43"/>
      <c r="D26" s="43"/>
      <c r="E26" s="43"/>
      <c r="F26" s="43"/>
      <c r="G26" s="43"/>
      <c r="H26" s="43"/>
      <c r="I26" s="43"/>
      <c r="J26" s="43"/>
      <c r="K26" s="43"/>
      <c r="L26" s="43"/>
    </row>
    <row r="28" spans="2:12" ht="15" customHeight="1" x14ac:dyDescent="0.25">
      <c r="B28" s="24" t="s">
        <v>138</v>
      </c>
    </row>
    <row r="29" spans="2:12" ht="15" customHeight="1" x14ac:dyDescent="0.25">
      <c r="B29" s="44" t="s">
        <v>139</v>
      </c>
      <c r="C29" s="55">
        <v>59.4</v>
      </c>
      <c r="D29" s="55">
        <v>62.3</v>
      </c>
      <c r="E29" s="55">
        <v>53.6</v>
      </c>
      <c r="F29" s="55">
        <v>65</v>
      </c>
      <c r="G29" s="56">
        <f>67+(Assumptions!$C$12-67)*1/5</f>
        <v>68</v>
      </c>
      <c r="H29" s="56">
        <f>67+(Assumptions!$C$12-67)*2/5</f>
        <v>69</v>
      </c>
      <c r="I29" s="56">
        <f>67+(Assumptions!$C$12-67)*3/5</f>
        <v>70</v>
      </c>
      <c r="J29" s="56">
        <f>67+(Assumptions!$C$12-67)*4/5</f>
        <v>71</v>
      </c>
      <c r="K29" s="56">
        <f>Assumptions!$C$12</f>
        <v>72</v>
      </c>
      <c r="L29" s="56">
        <f>Assumptions!$C$12+(Assumptions!$C$12-67)/5</f>
        <v>73</v>
      </c>
    </row>
    <row r="31" spans="2:12" ht="15" customHeight="1" x14ac:dyDescent="0.25">
      <c r="B31" s="24" t="s">
        <v>140</v>
      </c>
    </row>
    <row r="32" spans="2:12" ht="15" customHeight="1" x14ac:dyDescent="0.25">
      <c r="B32" s="44" t="s">
        <v>141</v>
      </c>
      <c r="C32" s="55">
        <v>17</v>
      </c>
      <c r="D32" s="55">
        <v>17</v>
      </c>
      <c r="E32" s="55">
        <v>17</v>
      </c>
      <c r="F32" s="55">
        <v>20.5</v>
      </c>
      <c r="G32" s="57">
        <v>20.5</v>
      </c>
      <c r="H32" s="57">
        <v>20.5</v>
      </c>
      <c r="I32" s="56">
        <f>Assumptions!$C$11</f>
        <v>22</v>
      </c>
      <c r="J32" s="56">
        <f>Assumptions!$C$11</f>
        <v>22</v>
      </c>
      <c r="K32" s="56">
        <f>Assumptions!$C$11</f>
        <v>22</v>
      </c>
      <c r="L32" s="56">
        <f>Assumptions!$C$11</f>
        <v>22</v>
      </c>
    </row>
    <row r="34" spans="2:12" ht="15" customHeight="1" x14ac:dyDescent="0.25">
      <c r="B34" s="24" t="s">
        <v>142</v>
      </c>
    </row>
    <row r="35" spans="2:12" ht="15" customHeight="1" x14ac:dyDescent="0.25">
      <c r="B35" s="58" t="s">
        <v>143</v>
      </c>
      <c r="C35" s="59">
        <f t="shared" ref="C35:L35" si="0">C32/C29</f>
        <v>0.28619528619528622</v>
      </c>
      <c r="D35" s="59">
        <f t="shared" si="0"/>
        <v>0.27287319422150885</v>
      </c>
      <c r="E35" s="59">
        <f t="shared" si="0"/>
        <v>0.31716417910447758</v>
      </c>
      <c r="F35" s="59">
        <f t="shared" si="0"/>
        <v>0.31538461538461537</v>
      </c>
      <c r="G35" s="59">
        <f t="shared" si="0"/>
        <v>0.3014705882352941</v>
      </c>
      <c r="H35" s="59">
        <f t="shared" si="0"/>
        <v>0.29710144927536231</v>
      </c>
      <c r="I35" s="59">
        <f t="shared" si="0"/>
        <v>0.31428571428571428</v>
      </c>
      <c r="J35" s="59">
        <f t="shared" si="0"/>
        <v>0.30985915492957744</v>
      </c>
      <c r="K35" s="59">
        <f t="shared" si="0"/>
        <v>0.30555555555555558</v>
      </c>
      <c r="L35" s="59">
        <f t="shared" si="0"/>
        <v>0.30136986301369861</v>
      </c>
    </row>
    <row r="37" spans="2:12" ht="15" customHeight="1" x14ac:dyDescent="0.25">
      <c r="B37" s="24" t="s">
        <v>144</v>
      </c>
    </row>
    <row r="38" spans="2:12" ht="15" customHeight="1" x14ac:dyDescent="0.25">
      <c r="B38" s="44" t="s">
        <v>145</v>
      </c>
      <c r="C38" s="60">
        <v>39.098999999999997</v>
      </c>
      <c r="D38" s="60">
        <v>39.098999999999997</v>
      </c>
      <c r="E38" s="60">
        <v>39.098999999999997</v>
      </c>
      <c r="F38" s="60">
        <v>39.098999999999997</v>
      </c>
      <c r="G38" s="61">
        <v>39.098999999999997</v>
      </c>
      <c r="H38" s="61">
        <v>39.098999999999997</v>
      </c>
      <c r="I38" s="61">
        <v>39.098999999999997</v>
      </c>
      <c r="J38" s="61">
        <v>39.098999999999997</v>
      </c>
      <c r="K38" s="61">
        <v>39.098999999999997</v>
      </c>
      <c r="L38" s="61">
        <v>39.098999999999997</v>
      </c>
    </row>
    <row r="39" spans="2:12" ht="15" customHeight="1" x14ac:dyDescent="0.25">
      <c r="B39" s="44" t="s">
        <v>146</v>
      </c>
      <c r="C39" s="62">
        <f t="shared" ref="C39:L39" si="1">C38*C32</f>
        <v>664.68299999999999</v>
      </c>
      <c r="D39" s="62">
        <f t="shared" si="1"/>
        <v>664.68299999999999</v>
      </c>
      <c r="E39" s="62">
        <f t="shared" si="1"/>
        <v>664.68299999999999</v>
      </c>
      <c r="F39" s="62">
        <f t="shared" si="1"/>
        <v>801.52949999999998</v>
      </c>
      <c r="G39" s="62">
        <f t="shared" si="1"/>
        <v>801.52949999999998</v>
      </c>
      <c r="H39" s="62">
        <f t="shared" si="1"/>
        <v>801.52949999999998</v>
      </c>
      <c r="I39" s="62">
        <f t="shared" si="1"/>
        <v>860.17799999999988</v>
      </c>
      <c r="J39" s="62">
        <f t="shared" si="1"/>
        <v>860.17799999999988</v>
      </c>
      <c r="K39" s="62">
        <f t="shared" si="1"/>
        <v>860.17799999999988</v>
      </c>
      <c r="L39" s="62">
        <f t="shared" si="1"/>
        <v>860.17799999999988</v>
      </c>
    </row>
    <row r="41" spans="2:12" ht="15" customHeight="1" x14ac:dyDescent="0.25">
      <c r="B41" s="24" t="s">
        <v>147</v>
      </c>
    </row>
    <row r="42" spans="2:12" ht="15" customHeight="1" x14ac:dyDescent="0.25">
      <c r="B42" s="44" t="s">
        <v>148</v>
      </c>
      <c r="C42" s="55">
        <v>85</v>
      </c>
      <c r="D42" s="55">
        <v>165</v>
      </c>
      <c r="E42" s="55">
        <v>130</v>
      </c>
      <c r="F42" s="55">
        <v>107.52</v>
      </c>
      <c r="G42" s="42">
        <v>108.85</v>
      </c>
      <c r="H42" s="56">
        <f>108.85+(Assumptions!$C$10-108.85)*2/5</f>
        <v>121.31</v>
      </c>
      <c r="I42" s="56">
        <f>108.85+(Assumptions!$C$10-108.85)*3/5</f>
        <v>127.53999999999999</v>
      </c>
      <c r="J42" s="56">
        <f>108.85+(Assumptions!$C$10-108.85)*4/5</f>
        <v>133.77000000000001</v>
      </c>
      <c r="K42" s="56">
        <f>Assumptions!$C$10</f>
        <v>140</v>
      </c>
      <c r="L42" s="56">
        <f>Assumptions!$C$10+(Assumptions!$C$10-108.85)/5</f>
        <v>146.22999999999999</v>
      </c>
    </row>
    <row r="44" spans="2:12" ht="15" customHeight="1" x14ac:dyDescent="0.25">
      <c r="B44" s="58" t="s">
        <v>149</v>
      </c>
      <c r="C44" s="63">
        <f t="shared" ref="C44:L44" si="2">C39*C42/1000</f>
        <v>56.498055000000001</v>
      </c>
      <c r="D44" s="63">
        <f t="shared" si="2"/>
        <v>109.67269499999999</v>
      </c>
      <c r="E44" s="63">
        <f t="shared" si="2"/>
        <v>86.408789999999996</v>
      </c>
      <c r="F44" s="63">
        <f t="shared" si="2"/>
        <v>86.180451839999989</v>
      </c>
      <c r="G44" s="63">
        <f t="shared" si="2"/>
        <v>87.246486074999993</v>
      </c>
      <c r="H44" s="63">
        <f t="shared" si="2"/>
        <v>97.233543644999997</v>
      </c>
      <c r="I44" s="63">
        <f t="shared" si="2"/>
        <v>109.70710211999999</v>
      </c>
      <c r="J44" s="63">
        <f t="shared" si="2"/>
        <v>115.06601105999999</v>
      </c>
      <c r="K44" s="63">
        <f t="shared" si="2"/>
        <v>120.42491999999999</v>
      </c>
      <c r="L44" s="63">
        <f t="shared" si="2"/>
        <v>125.78382893999998</v>
      </c>
    </row>
    <row r="45" spans="2:12" ht="15" customHeight="1" x14ac:dyDescent="0.25">
      <c r="B45" s="64" t="s">
        <v>150</v>
      </c>
      <c r="C45" s="65">
        <f t="shared" ref="C45:L45" si="3">-C44*0.035</f>
        <v>-1.9774319250000003</v>
      </c>
      <c r="D45" s="65">
        <f t="shared" si="3"/>
        <v>-3.838544325</v>
      </c>
      <c r="E45" s="65">
        <f t="shared" si="3"/>
        <v>-3.0243076500000003</v>
      </c>
      <c r="F45" s="65">
        <f t="shared" si="3"/>
        <v>-3.0163158144</v>
      </c>
      <c r="G45" s="65">
        <f t="shared" si="3"/>
        <v>-3.0536270126250002</v>
      </c>
      <c r="H45" s="65">
        <f t="shared" si="3"/>
        <v>-3.4031740275750004</v>
      </c>
      <c r="I45" s="65">
        <f t="shared" si="3"/>
        <v>-3.8397485742000002</v>
      </c>
      <c r="J45" s="65">
        <f t="shared" si="3"/>
        <v>-4.0273103871</v>
      </c>
      <c r="K45" s="65">
        <f t="shared" si="3"/>
        <v>-4.2148722000000003</v>
      </c>
      <c r="L45" s="65">
        <f t="shared" si="3"/>
        <v>-4.4024340128999997</v>
      </c>
    </row>
    <row r="46" spans="2:12" ht="15" customHeight="1" x14ac:dyDescent="0.25">
      <c r="B46" s="58" t="s">
        <v>151</v>
      </c>
      <c r="C46" s="63">
        <f t="shared" ref="C46:L46" si="4">C44+C45</f>
        <v>54.520623075000003</v>
      </c>
      <c r="D46" s="63">
        <f t="shared" si="4"/>
        <v>105.83415067499999</v>
      </c>
      <c r="E46" s="63">
        <f t="shared" si="4"/>
        <v>83.384482349999999</v>
      </c>
      <c r="F46" s="63">
        <f t="shared" si="4"/>
        <v>83.164136025599987</v>
      </c>
      <c r="G46" s="63">
        <f t="shared" si="4"/>
        <v>84.192859062374993</v>
      </c>
      <c r="H46" s="63">
        <f t="shared" si="4"/>
        <v>93.830369617424992</v>
      </c>
      <c r="I46" s="63">
        <f t="shared" si="4"/>
        <v>105.86735354579999</v>
      </c>
      <c r="J46" s="63">
        <f t="shared" si="4"/>
        <v>111.03870067289999</v>
      </c>
      <c r="K46" s="63">
        <f t="shared" si="4"/>
        <v>116.21004779999998</v>
      </c>
      <c r="L46" s="63">
        <f t="shared" si="4"/>
        <v>121.38139492709998</v>
      </c>
    </row>
    <row r="48" spans="2:12" ht="21.75" customHeight="1" x14ac:dyDescent="0.25">
      <c r="B48" s="2" t="s">
        <v>152</v>
      </c>
      <c r="C48" s="43"/>
      <c r="D48" s="43"/>
      <c r="E48" s="43"/>
      <c r="F48" s="43"/>
      <c r="G48" s="43"/>
      <c r="H48" s="43"/>
      <c r="I48" s="43"/>
      <c r="J48" s="43"/>
      <c r="K48" s="43"/>
      <c r="L48" s="43"/>
    </row>
    <row r="49" spans="2:12" ht="15" customHeight="1" x14ac:dyDescent="0.25">
      <c r="B49" s="3" t="s">
        <v>153</v>
      </c>
    </row>
    <row r="51" spans="2:12" ht="15" customHeight="1" x14ac:dyDescent="0.25">
      <c r="B51" s="8" t="s">
        <v>154</v>
      </c>
      <c r="C51" s="50" t="s">
        <v>155</v>
      </c>
      <c r="D51" s="50" t="s">
        <v>156</v>
      </c>
      <c r="E51" s="50" t="s">
        <v>157</v>
      </c>
      <c r="F51" s="50" t="s">
        <v>158</v>
      </c>
      <c r="G51" s="51" t="s">
        <v>159</v>
      </c>
      <c r="H51" s="51" t="s">
        <v>160</v>
      </c>
      <c r="I51" s="51" t="s">
        <v>161</v>
      </c>
      <c r="J51" s="51" t="s">
        <v>162</v>
      </c>
      <c r="K51" s="51" t="s">
        <v>163</v>
      </c>
    </row>
    <row r="52" spans="2:12" ht="15" customHeight="1" x14ac:dyDescent="0.25">
      <c r="B52" s="64" t="s">
        <v>164</v>
      </c>
      <c r="C52" s="65">
        <f t="shared" ref="C52:K52" si="5">C46*8/12</f>
        <v>36.347082050000004</v>
      </c>
      <c r="D52" s="65">
        <f t="shared" si="5"/>
        <v>70.556100449999988</v>
      </c>
      <c r="E52" s="65">
        <f t="shared" si="5"/>
        <v>55.589654899999999</v>
      </c>
      <c r="F52" s="65">
        <f t="shared" si="5"/>
        <v>55.442757350399994</v>
      </c>
      <c r="G52" s="65">
        <f t="shared" si="5"/>
        <v>56.128572708249997</v>
      </c>
      <c r="H52" s="65">
        <f t="shared" si="5"/>
        <v>62.553579744949992</v>
      </c>
      <c r="I52" s="65">
        <f t="shared" si="5"/>
        <v>70.578235697199986</v>
      </c>
      <c r="J52" s="65">
        <f t="shared" si="5"/>
        <v>74.025800448599995</v>
      </c>
      <c r="K52" s="65">
        <f t="shared" si="5"/>
        <v>77.473365199999989</v>
      </c>
    </row>
    <row r="53" spans="2:12" ht="15" customHeight="1" x14ac:dyDescent="0.25">
      <c r="B53" s="64" t="s">
        <v>165</v>
      </c>
      <c r="C53" s="65">
        <f t="shared" ref="C53:K53" si="6">D46*4/12</f>
        <v>35.278050224999994</v>
      </c>
      <c r="D53" s="65">
        <f t="shared" si="6"/>
        <v>27.79482745</v>
      </c>
      <c r="E53" s="65">
        <f t="shared" si="6"/>
        <v>27.721378675199997</v>
      </c>
      <c r="F53" s="65">
        <f t="shared" si="6"/>
        <v>28.064286354124999</v>
      </c>
      <c r="G53" s="65">
        <f t="shared" si="6"/>
        <v>31.276789872474996</v>
      </c>
      <c r="H53" s="65">
        <f t="shared" si="6"/>
        <v>35.289117848599993</v>
      </c>
      <c r="I53" s="65">
        <f t="shared" si="6"/>
        <v>37.012900224299997</v>
      </c>
      <c r="J53" s="65">
        <f t="shared" si="6"/>
        <v>38.736682599999995</v>
      </c>
      <c r="K53" s="65">
        <f t="shared" si="6"/>
        <v>40.460464975699992</v>
      </c>
    </row>
    <row r="54" spans="2:12" ht="15" customHeight="1" x14ac:dyDescent="0.25">
      <c r="B54" s="58" t="s">
        <v>166</v>
      </c>
      <c r="C54" s="63">
        <f t="shared" ref="C54:K54" si="7">C52+C53</f>
        <v>71.625132274999999</v>
      </c>
      <c r="D54" s="63">
        <f t="shared" si="7"/>
        <v>98.350927899999988</v>
      </c>
      <c r="E54" s="63">
        <f t="shared" si="7"/>
        <v>83.3110335752</v>
      </c>
      <c r="F54" s="63">
        <f t="shared" si="7"/>
        <v>83.507043704524989</v>
      </c>
      <c r="G54" s="63">
        <f t="shared" si="7"/>
        <v>87.405362580724997</v>
      </c>
      <c r="H54" s="63">
        <f t="shared" si="7"/>
        <v>97.842697593549985</v>
      </c>
      <c r="I54" s="63">
        <f t="shared" si="7"/>
        <v>107.59113592149998</v>
      </c>
      <c r="J54" s="63">
        <f t="shared" si="7"/>
        <v>112.76248304859999</v>
      </c>
      <c r="K54" s="63">
        <f t="shared" si="7"/>
        <v>117.93383017569998</v>
      </c>
    </row>
    <row r="57" spans="2:12" ht="15" customHeight="1" x14ac:dyDescent="0.25">
      <c r="B57" s="24" t="s">
        <v>167</v>
      </c>
    </row>
    <row r="58" spans="2:12" ht="15" customHeight="1" x14ac:dyDescent="0.25">
      <c r="B58" s="192" t="s">
        <v>168</v>
      </c>
      <c r="C58" s="192"/>
      <c r="D58" s="192"/>
      <c r="E58" s="192"/>
      <c r="F58" s="192"/>
      <c r="G58" s="192"/>
      <c r="H58" s="192"/>
      <c r="I58" s="192"/>
      <c r="J58" s="192"/>
      <c r="K58" s="192"/>
      <c r="L58" s="192"/>
    </row>
    <row r="59" spans="2:12" ht="15" customHeight="1" x14ac:dyDescent="0.25">
      <c r="B59" s="192" t="s">
        <v>169</v>
      </c>
      <c r="C59" s="192"/>
      <c r="D59" s="192"/>
      <c r="E59" s="192"/>
      <c r="F59" s="192"/>
      <c r="G59" s="192"/>
      <c r="H59" s="192"/>
      <c r="I59" s="192"/>
      <c r="J59" s="192"/>
      <c r="K59" s="192"/>
      <c r="L59" s="192"/>
    </row>
    <row r="60" spans="2:12" ht="15" customHeight="1" x14ac:dyDescent="0.25">
      <c r="B60" s="192" t="s">
        <v>170</v>
      </c>
      <c r="C60" s="192"/>
      <c r="D60" s="192"/>
      <c r="E60" s="192"/>
      <c r="F60" s="192"/>
      <c r="G60" s="192"/>
      <c r="H60" s="192"/>
      <c r="I60" s="192"/>
      <c r="J60" s="192"/>
      <c r="K60" s="192"/>
      <c r="L60" s="192"/>
    </row>
    <row r="61" spans="2:12" ht="15" customHeight="1" x14ac:dyDescent="0.25">
      <c r="B61" s="192" t="s">
        <v>171</v>
      </c>
      <c r="C61" s="192"/>
      <c r="D61" s="192"/>
      <c r="E61" s="192"/>
      <c r="F61" s="192"/>
      <c r="G61" s="192"/>
      <c r="H61" s="192"/>
      <c r="I61" s="192"/>
      <c r="J61" s="192"/>
      <c r="K61" s="192"/>
      <c r="L61" s="192"/>
    </row>
    <row r="62" spans="2:12" ht="15" customHeight="1" x14ac:dyDescent="0.25">
      <c r="B62" s="192" t="s">
        <v>172</v>
      </c>
      <c r="C62" s="192"/>
      <c r="D62" s="192"/>
      <c r="E62" s="192"/>
      <c r="F62" s="192"/>
      <c r="G62" s="192"/>
      <c r="H62" s="192"/>
      <c r="I62" s="192"/>
      <c r="J62" s="192"/>
      <c r="K62" s="192"/>
      <c r="L62" s="192"/>
    </row>
  </sheetData>
  <mergeCells count="12">
    <mergeCell ref="B3:M3"/>
    <mergeCell ref="C18:H18"/>
    <mergeCell ref="C19:H19"/>
    <mergeCell ref="C20:H20"/>
    <mergeCell ref="C21:H21"/>
    <mergeCell ref="B61:L61"/>
    <mergeCell ref="B62:L62"/>
    <mergeCell ref="C22:H22"/>
    <mergeCell ref="C23:H23"/>
    <mergeCell ref="B58:L58"/>
    <mergeCell ref="B59:L59"/>
    <mergeCell ref="B60:L60"/>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8"/>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7109375" defaultRowHeight="15" x14ac:dyDescent="0.25"/>
  <cols>
    <col min="1" max="1" width="2" customWidth="1"/>
    <col min="2" max="2" width="38" customWidth="1"/>
    <col min="3" max="11" width="11" customWidth="1"/>
  </cols>
  <sheetData>
    <row r="1" spans="1:11" ht="15" customHeight="1" x14ac:dyDescent="0.25">
      <c r="A1" s="25" t="s">
        <v>1</v>
      </c>
    </row>
    <row r="2" spans="1:11" ht="17.25" customHeight="1" x14ac:dyDescent="0.25">
      <c r="A2" s="26" t="s">
        <v>40</v>
      </c>
      <c r="B2" s="27" t="s">
        <v>173</v>
      </c>
      <c r="C2" s="28" t="s">
        <v>42</v>
      </c>
      <c r="D2" s="29" t="s">
        <v>43</v>
      </c>
      <c r="E2" s="30" t="s">
        <v>44</v>
      </c>
    </row>
    <row r="4" spans="1:11" ht="15" customHeight="1" x14ac:dyDescent="0.25">
      <c r="B4" s="4" t="s">
        <v>174</v>
      </c>
      <c r="C4" s="50" t="s">
        <v>155</v>
      </c>
      <c r="D4" s="50" t="s">
        <v>156</v>
      </c>
      <c r="E4" s="50" t="s">
        <v>157</v>
      </c>
      <c r="F4" s="50" t="s">
        <v>158</v>
      </c>
      <c r="G4" s="51" t="s">
        <v>159</v>
      </c>
      <c r="H4" s="51" t="s">
        <v>160</v>
      </c>
      <c r="I4" s="51" t="s">
        <v>161</v>
      </c>
      <c r="J4" s="51" t="s">
        <v>162</v>
      </c>
      <c r="K4" s="51" t="s">
        <v>163</v>
      </c>
    </row>
    <row r="5" spans="1:11" ht="15" customHeight="1" x14ac:dyDescent="0.25">
      <c r="B5" s="4" t="s">
        <v>118</v>
      </c>
      <c r="C5" s="52" t="str">
        <f>Assumptions!$D$6</f>
        <v>Base</v>
      </c>
    </row>
    <row r="7" spans="1:11" ht="15" customHeight="1" x14ac:dyDescent="0.25">
      <c r="B7" s="24" t="s">
        <v>175</v>
      </c>
    </row>
    <row r="8" spans="1:11" ht="15" customHeight="1" x14ac:dyDescent="0.25">
      <c r="B8" s="6" t="s">
        <v>14</v>
      </c>
      <c r="C8" s="66">
        <v>8.7100000000000009</v>
      </c>
    </row>
    <row r="9" spans="1:11" ht="15" customHeight="1" x14ac:dyDescent="0.25">
      <c r="B9" s="6" t="s">
        <v>15</v>
      </c>
      <c r="C9" s="67">
        <f>Assumptions!$C$69</f>
        <v>96.206999999999994</v>
      </c>
    </row>
    <row r="10" spans="1:11" ht="15" customHeight="1" x14ac:dyDescent="0.25">
      <c r="B10" s="6" t="s">
        <v>176</v>
      </c>
      <c r="C10" s="68">
        <f>C8*C9</f>
        <v>837.96297000000004</v>
      </c>
    </row>
    <row r="11" spans="1:11" ht="15" customHeight="1" x14ac:dyDescent="0.25">
      <c r="B11" s="6" t="s">
        <v>177</v>
      </c>
      <c r="C11" s="69">
        <v>68.804000000000002</v>
      </c>
    </row>
    <row r="12" spans="1:11" ht="15" customHeight="1" x14ac:dyDescent="0.25">
      <c r="B12" s="6" t="s">
        <v>178</v>
      </c>
      <c r="C12" s="69">
        <v>-11.638999999999999</v>
      </c>
    </row>
    <row r="13" spans="1:11" ht="15" customHeight="1" x14ac:dyDescent="0.25">
      <c r="B13" s="6" t="s">
        <v>179</v>
      </c>
      <c r="C13" s="68">
        <f>C10+C11+C12</f>
        <v>895.12797</v>
      </c>
    </row>
    <row r="14" spans="1:11" ht="15" customHeight="1" x14ac:dyDescent="0.25">
      <c r="B14" s="41" t="s">
        <v>19</v>
      </c>
      <c r="C14" s="70">
        <v>2663.5633600000001</v>
      </c>
    </row>
    <row r="15" spans="1:11" ht="15" customHeight="1" x14ac:dyDescent="0.25">
      <c r="B15" s="41" t="s">
        <v>180</v>
      </c>
      <c r="C15" s="71">
        <f>C10/C14</f>
        <v>0.31460222894791584</v>
      </c>
    </row>
    <row r="18" spans="2:11" ht="15" customHeight="1" x14ac:dyDescent="0.25">
      <c r="B18" s="72" t="s">
        <v>181</v>
      </c>
    </row>
    <row r="20" spans="2:11" ht="15" customHeight="1" x14ac:dyDescent="0.25">
      <c r="B20" s="11" t="s">
        <v>182</v>
      </c>
    </row>
    <row r="21" spans="2:11" ht="15" customHeight="1" x14ac:dyDescent="0.25">
      <c r="B21" s="64" t="s">
        <v>183</v>
      </c>
      <c r="C21" s="73">
        <v>39.098999999999997</v>
      </c>
      <c r="D21" s="73">
        <v>39.098999999999997</v>
      </c>
      <c r="E21" s="73">
        <v>39.098999999999997</v>
      </c>
      <c r="F21" s="73">
        <v>39.098999999999997</v>
      </c>
      <c r="G21" s="73">
        <v>39.098999999999997</v>
      </c>
      <c r="H21" s="73">
        <v>39.098999999999997</v>
      </c>
      <c r="I21" s="73">
        <v>39.098999999999997</v>
      </c>
      <c r="J21" s="73">
        <v>39.098999999999997</v>
      </c>
      <c r="K21" s="73">
        <v>39.098999999999997</v>
      </c>
    </row>
    <row r="22" spans="2:11" ht="15" customHeight="1" x14ac:dyDescent="0.25">
      <c r="B22" s="64" t="s">
        <v>184</v>
      </c>
      <c r="C22" s="74">
        <v>17</v>
      </c>
      <c r="D22" s="74">
        <v>17</v>
      </c>
      <c r="E22" s="74">
        <v>17</v>
      </c>
      <c r="F22" s="74">
        <v>20.5</v>
      </c>
      <c r="G22" s="74">
        <v>20.5</v>
      </c>
      <c r="H22" s="74">
        <v>20.5</v>
      </c>
      <c r="I22" s="74">
        <f>Assumptions!$C$11</f>
        <v>22</v>
      </c>
      <c r="J22" s="74">
        <f>Assumptions!$C$11</f>
        <v>22</v>
      </c>
      <c r="K22" s="74">
        <f>Assumptions!$C$11</f>
        <v>22</v>
      </c>
    </row>
    <row r="24" spans="2:11" ht="15" customHeight="1" x14ac:dyDescent="0.25">
      <c r="B24" s="58" t="s">
        <v>185</v>
      </c>
      <c r="C24" s="75">
        <v>65</v>
      </c>
      <c r="D24" s="75">
        <v>67</v>
      </c>
      <c r="E24" s="75">
        <v>68.3</v>
      </c>
      <c r="F24" s="75">
        <v>96.6</v>
      </c>
      <c r="G24" s="76">
        <f>'Revenue Drivers'!G54</f>
        <v>87.405362580724997</v>
      </c>
      <c r="H24" s="76">
        <f>'Revenue Drivers'!H54</f>
        <v>97.842697593549985</v>
      </c>
      <c r="I24" s="76">
        <f>'Revenue Drivers'!I54</f>
        <v>107.59113592149998</v>
      </c>
      <c r="J24" s="76">
        <f>'Revenue Drivers'!J54</f>
        <v>112.76248304859999</v>
      </c>
      <c r="K24" s="76">
        <f>'Revenue Drivers'!K54</f>
        <v>117.93383017569998</v>
      </c>
    </row>
    <row r="25" spans="2:11" ht="15" customHeight="1" x14ac:dyDescent="0.25">
      <c r="B25" s="44" t="s">
        <v>186</v>
      </c>
      <c r="C25" s="69">
        <v>0</v>
      </c>
      <c r="D25" s="69">
        <v>0</v>
      </c>
      <c r="E25" s="69">
        <v>-2.1</v>
      </c>
      <c r="F25" s="69">
        <v>4.7</v>
      </c>
      <c r="G25" s="77">
        <f>Assumptions!$C$50</f>
        <v>0</v>
      </c>
      <c r="H25" s="77">
        <f>Assumptions!$C$50</f>
        <v>0</v>
      </c>
      <c r="I25" s="77">
        <f>Assumptions!$C$50</f>
        <v>0</v>
      </c>
      <c r="J25" s="77">
        <f>Assumptions!$C$50</f>
        <v>0</v>
      </c>
      <c r="K25" s="77">
        <f>Assumptions!$C$50</f>
        <v>0</v>
      </c>
    </row>
    <row r="26" spans="2:11" ht="15" customHeight="1" x14ac:dyDescent="0.25">
      <c r="B26" s="58" t="s">
        <v>187</v>
      </c>
      <c r="C26" s="35">
        <f t="shared" ref="C26:K26" si="0">C24+C25</f>
        <v>65</v>
      </c>
      <c r="D26" s="35">
        <f t="shared" si="0"/>
        <v>67</v>
      </c>
      <c r="E26" s="35">
        <f t="shared" si="0"/>
        <v>66.2</v>
      </c>
      <c r="F26" s="35">
        <f t="shared" si="0"/>
        <v>101.3</v>
      </c>
      <c r="G26" s="35">
        <f t="shared" si="0"/>
        <v>87.405362580724997</v>
      </c>
      <c r="H26" s="35">
        <f t="shared" si="0"/>
        <v>97.842697593549985</v>
      </c>
      <c r="I26" s="35">
        <f t="shared" si="0"/>
        <v>107.59113592149998</v>
      </c>
      <c r="J26" s="35">
        <f t="shared" si="0"/>
        <v>112.76248304859999</v>
      </c>
      <c r="K26" s="35">
        <f t="shared" si="0"/>
        <v>117.93383017569998</v>
      </c>
    </row>
    <row r="27" spans="2:11" ht="15" customHeight="1" x14ac:dyDescent="0.25">
      <c r="B27" s="64" t="s">
        <v>188</v>
      </c>
      <c r="D27" s="78">
        <f t="shared" ref="D27:K27" si="1">IFERROR(D26/C26-1,"")</f>
        <v>3.076923076923066E-2</v>
      </c>
      <c r="E27" s="78">
        <f t="shared" si="1"/>
        <v>-1.1940298507462699E-2</v>
      </c>
      <c r="F27" s="78">
        <f t="shared" si="1"/>
        <v>0.53021148036253773</v>
      </c>
      <c r="G27" s="78">
        <f t="shared" si="1"/>
        <v>-0.13716325191781842</v>
      </c>
      <c r="H27" s="78">
        <f t="shared" si="1"/>
        <v>0.11941298227766484</v>
      </c>
      <c r="I27" s="78">
        <f t="shared" si="1"/>
        <v>9.9633785328018476E-2</v>
      </c>
      <c r="J27" s="78">
        <f t="shared" si="1"/>
        <v>4.8064806480648148E-2</v>
      </c>
      <c r="K27" s="78">
        <f t="shared" si="1"/>
        <v>4.5860529027825336E-2</v>
      </c>
    </row>
    <row r="29" spans="2:11" ht="15" customHeight="1" x14ac:dyDescent="0.25">
      <c r="B29" s="44" t="s">
        <v>189</v>
      </c>
      <c r="C29" s="69">
        <v>-4.5</v>
      </c>
      <c r="D29" s="69">
        <v>-4.5999999999999996</v>
      </c>
      <c r="E29" s="69">
        <v>-4.8</v>
      </c>
      <c r="F29" s="69">
        <v>-4.3</v>
      </c>
      <c r="G29" s="77">
        <f>-G26*Assumptions!$C$54</f>
        <v>-3.9332413161326247</v>
      </c>
      <c r="H29" s="77">
        <f>-H26*Assumptions!$C$54</f>
        <v>-4.4029213917097492</v>
      </c>
      <c r="I29" s="77">
        <f>-I26*Assumptions!$C$54</f>
        <v>-4.8416011164674995</v>
      </c>
      <c r="J29" s="77">
        <f>-J26*Assumptions!$C$54</f>
        <v>-5.0743117371869992</v>
      </c>
      <c r="K29" s="77">
        <f>-K26*Assumptions!$C$54</f>
        <v>-5.307022357906499</v>
      </c>
    </row>
    <row r="30" spans="2:11" ht="15" customHeight="1" x14ac:dyDescent="0.25">
      <c r="B30" s="58" t="s">
        <v>190</v>
      </c>
      <c r="C30" s="35">
        <f t="shared" ref="C30:K30" si="2">C26+C29</f>
        <v>60.5</v>
      </c>
      <c r="D30" s="35">
        <f t="shared" si="2"/>
        <v>62.4</v>
      </c>
      <c r="E30" s="35">
        <f t="shared" si="2"/>
        <v>61.400000000000006</v>
      </c>
      <c r="F30" s="35">
        <f t="shared" si="2"/>
        <v>97</v>
      </c>
      <c r="G30" s="35">
        <f t="shared" si="2"/>
        <v>83.472121264592374</v>
      </c>
      <c r="H30" s="35">
        <f t="shared" si="2"/>
        <v>93.439776201840232</v>
      </c>
      <c r="I30" s="35">
        <f t="shared" si="2"/>
        <v>102.74953480503248</v>
      </c>
      <c r="J30" s="35">
        <f t="shared" si="2"/>
        <v>107.68817131141299</v>
      </c>
      <c r="K30" s="35">
        <f t="shared" si="2"/>
        <v>112.62680781779348</v>
      </c>
    </row>
    <row r="32" spans="2:11" ht="15" customHeight="1" x14ac:dyDescent="0.25">
      <c r="B32" s="44" t="s">
        <v>191</v>
      </c>
      <c r="C32" s="69">
        <v>-33</v>
      </c>
      <c r="D32" s="69">
        <v>-32.5</v>
      </c>
      <c r="E32" s="69">
        <v>-31.9</v>
      </c>
      <c r="F32" s="69">
        <v>-27.9</v>
      </c>
      <c r="G32" s="77">
        <f>F32*(1+Assumptions!$C$13)</f>
        <v>-28.457999999999998</v>
      </c>
      <c r="H32" s="77">
        <f>G32*(1+Assumptions!$C$13)</f>
        <v>-29.027159999999999</v>
      </c>
      <c r="I32" s="77">
        <f>H32*(1+Assumptions!$C$13)</f>
        <v>-29.6077032</v>
      </c>
      <c r="J32" s="77">
        <f>I32*(1+Assumptions!$C$13)</f>
        <v>-30.199857263999998</v>
      </c>
      <c r="K32" s="77">
        <f>J32*(1+Assumptions!$C$13)</f>
        <v>-30.80385440928</v>
      </c>
    </row>
    <row r="33" spans="2:11" ht="15" customHeight="1" x14ac:dyDescent="0.25">
      <c r="B33" s="79" t="s">
        <v>192</v>
      </c>
      <c r="C33" s="80">
        <v>-0.3</v>
      </c>
      <c r="D33" s="80">
        <v>-0.4</v>
      </c>
      <c r="E33" s="80">
        <v>-0.5</v>
      </c>
      <c r="F33" s="80">
        <v>-0.5</v>
      </c>
      <c r="G33" s="81">
        <f>Assumptions!$C$51</f>
        <v>-0.5</v>
      </c>
      <c r="H33" s="81">
        <f>Assumptions!$C$51</f>
        <v>-0.5</v>
      </c>
      <c r="I33" s="81">
        <f>Assumptions!$C$51</f>
        <v>-0.5</v>
      </c>
      <c r="J33" s="81">
        <f>Assumptions!$C$51</f>
        <v>-0.5</v>
      </c>
      <c r="K33" s="81">
        <f>Assumptions!$C$51</f>
        <v>-0.5</v>
      </c>
    </row>
    <row r="34" spans="2:11" ht="15" customHeight="1" x14ac:dyDescent="0.25">
      <c r="B34" s="44" t="s">
        <v>193</v>
      </c>
      <c r="C34" s="69">
        <v>-10</v>
      </c>
      <c r="D34" s="69">
        <v>-10.5</v>
      </c>
      <c r="E34" s="69">
        <v>-11.3</v>
      </c>
      <c r="F34" s="69">
        <v>-9.1</v>
      </c>
      <c r="G34" s="77">
        <f>-Assumptions!$C$14</f>
        <v>-3</v>
      </c>
      <c r="H34" s="77">
        <f>-Assumptions!$C$14</f>
        <v>-3</v>
      </c>
      <c r="I34" s="77">
        <f>-Assumptions!$C$14</f>
        <v>-3</v>
      </c>
      <c r="J34" s="77">
        <f>-Assumptions!$C$14</f>
        <v>-3</v>
      </c>
      <c r="K34" s="77">
        <f>-Assumptions!$C$14</f>
        <v>-3</v>
      </c>
    </row>
    <row r="35" spans="2:11" ht="15" customHeight="1" x14ac:dyDescent="0.25">
      <c r="B35" s="79" t="s">
        <v>194</v>
      </c>
      <c r="C35" s="80">
        <v>0</v>
      </c>
      <c r="D35" s="80">
        <v>0</v>
      </c>
      <c r="E35" s="80">
        <v>0</v>
      </c>
      <c r="F35" s="80">
        <v>-60.4</v>
      </c>
      <c r="G35" s="82">
        <v>0</v>
      </c>
      <c r="H35" s="82">
        <v>0</v>
      </c>
      <c r="I35" s="82">
        <v>0</v>
      </c>
      <c r="J35" s="82">
        <v>0</v>
      </c>
      <c r="K35" s="82">
        <v>0</v>
      </c>
    </row>
    <row r="36" spans="2:11" ht="15" customHeight="1" x14ac:dyDescent="0.25">
      <c r="B36" s="58" t="s">
        <v>195</v>
      </c>
      <c r="C36" s="35">
        <f t="shared" ref="C36:K36" si="3">C30+C32+C33+C34+C35</f>
        <v>17.2</v>
      </c>
      <c r="D36" s="35">
        <f t="shared" si="3"/>
        <v>19</v>
      </c>
      <c r="E36" s="35">
        <f t="shared" si="3"/>
        <v>17.700000000000006</v>
      </c>
      <c r="F36" s="35">
        <f t="shared" si="3"/>
        <v>-0.90000000000000568</v>
      </c>
      <c r="G36" s="35">
        <f t="shared" si="3"/>
        <v>51.514121264592376</v>
      </c>
      <c r="H36" s="35">
        <f t="shared" si="3"/>
        <v>60.912616201840237</v>
      </c>
      <c r="I36" s="35">
        <f t="shared" si="3"/>
        <v>69.641831605032479</v>
      </c>
      <c r="J36" s="35">
        <f t="shared" si="3"/>
        <v>73.988314047412985</v>
      </c>
      <c r="K36" s="35">
        <f t="shared" si="3"/>
        <v>78.322953408513484</v>
      </c>
    </row>
    <row r="38" spans="2:11" ht="15" customHeight="1" x14ac:dyDescent="0.25">
      <c r="B38" s="44" t="s">
        <v>196</v>
      </c>
      <c r="C38" s="69">
        <v>3</v>
      </c>
      <c r="D38" s="69">
        <v>3.2</v>
      </c>
      <c r="E38" s="69">
        <v>3.4</v>
      </c>
      <c r="F38" s="69">
        <v>3.2</v>
      </c>
      <c r="G38" s="77">
        <f>Assumptions!$C$52</f>
        <v>3.5</v>
      </c>
      <c r="H38" s="77">
        <f>Assumptions!$C$52</f>
        <v>3.5</v>
      </c>
      <c r="I38" s="77">
        <f>Assumptions!$C$52</f>
        <v>3.5</v>
      </c>
      <c r="J38" s="77">
        <f>Assumptions!$C$52</f>
        <v>3.5</v>
      </c>
      <c r="K38" s="77">
        <f>Assumptions!$C$52</f>
        <v>3.5</v>
      </c>
    </row>
    <row r="39" spans="2:11" ht="15" customHeight="1" x14ac:dyDescent="0.25">
      <c r="B39" s="58" t="s">
        <v>197</v>
      </c>
      <c r="C39" s="35">
        <f t="shared" ref="C39:K39" si="4">C36+C38</f>
        <v>20.2</v>
      </c>
      <c r="D39" s="35">
        <f t="shared" si="4"/>
        <v>22.2</v>
      </c>
      <c r="E39" s="35">
        <f t="shared" si="4"/>
        <v>21.100000000000005</v>
      </c>
      <c r="F39" s="35">
        <f t="shared" si="4"/>
        <v>2.2999999999999945</v>
      </c>
      <c r="G39" s="35">
        <f t="shared" si="4"/>
        <v>55.014121264592376</v>
      </c>
      <c r="H39" s="35">
        <f t="shared" si="4"/>
        <v>64.412616201840237</v>
      </c>
      <c r="I39" s="35">
        <f t="shared" si="4"/>
        <v>73.141831605032479</v>
      </c>
      <c r="J39" s="35">
        <f t="shared" si="4"/>
        <v>77.488314047412985</v>
      </c>
      <c r="K39" s="35">
        <f t="shared" si="4"/>
        <v>81.822953408513484</v>
      </c>
    </row>
    <row r="40" spans="2:11" ht="15" customHeight="1" x14ac:dyDescent="0.25">
      <c r="B40" s="64" t="s">
        <v>198</v>
      </c>
      <c r="C40" s="83">
        <f t="shared" ref="C40:K40" si="5">-C35</f>
        <v>0</v>
      </c>
      <c r="D40" s="83">
        <f t="shared" si="5"/>
        <v>0</v>
      </c>
      <c r="E40" s="83">
        <f t="shared" si="5"/>
        <v>0</v>
      </c>
      <c r="F40" s="83">
        <f t="shared" si="5"/>
        <v>60.4</v>
      </c>
      <c r="G40" s="83">
        <f t="shared" si="5"/>
        <v>0</v>
      </c>
      <c r="H40" s="83">
        <f t="shared" si="5"/>
        <v>0</v>
      </c>
      <c r="I40" s="83">
        <f t="shared" si="5"/>
        <v>0</v>
      </c>
      <c r="J40" s="83">
        <f t="shared" si="5"/>
        <v>0</v>
      </c>
      <c r="K40" s="83">
        <f t="shared" si="5"/>
        <v>0</v>
      </c>
    </row>
    <row r="41" spans="2:11" ht="15" customHeight="1" x14ac:dyDescent="0.25">
      <c r="B41" s="64" t="s">
        <v>199</v>
      </c>
      <c r="C41" s="80">
        <v>10.5</v>
      </c>
      <c r="D41" s="80">
        <v>12.3</v>
      </c>
      <c r="E41" s="80">
        <v>15.4</v>
      </c>
      <c r="F41" s="80">
        <v>3.9</v>
      </c>
      <c r="G41" s="82">
        <v>0</v>
      </c>
      <c r="H41" s="82">
        <v>0</v>
      </c>
      <c r="I41" s="82">
        <v>0</v>
      </c>
      <c r="J41" s="82">
        <v>0</v>
      </c>
      <c r="K41" s="82">
        <v>0</v>
      </c>
    </row>
    <row r="42" spans="2:11" ht="15" customHeight="1" x14ac:dyDescent="0.25">
      <c r="B42" s="58" t="s">
        <v>200</v>
      </c>
      <c r="C42" s="35">
        <f t="shared" ref="C42:K42" si="6">C39+C40+C41</f>
        <v>30.7</v>
      </c>
      <c r="D42" s="35">
        <f t="shared" si="6"/>
        <v>34.5</v>
      </c>
      <c r="E42" s="35">
        <f t="shared" si="6"/>
        <v>36.500000000000007</v>
      </c>
      <c r="F42" s="35">
        <f t="shared" si="6"/>
        <v>66.599999999999994</v>
      </c>
      <c r="G42" s="35">
        <f t="shared" si="6"/>
        <v>55.014121264592376</v>
      </c>
      <c r="H42" s="35">
        <f t="shared" si="6"/>
        <v>64.412616201840237</v>
      </c>
      <c r="I42" s="35">
        <f t="shared" si="6"/>
        <v>73.141831605032479</v>
      </c>
      <c r="J42" s="35">
        <f t="shared" si="6"/>
        <v>77.488314047412985</v>
      </c>
      <c r="K42" s="35">
        <f t="shared" si="6"/>
        <v>81.822953408513484</v>
      </c>
    </row>
    <row r="43" spans="2:11" ht="15" customHeight="1" x14ac:dyDescent="0.25">
      <c r="B43" s="64" t="s">
        <v>201</v>
      </c>
      <c r="C43" s="78">
        <f t="shared" ref="C43:K43" si="7">IFERROR(C42/C26,"")</f>
        <v>0.47230769230769232</v>
      </c>
      <c r="D43" s="78">
        <f t="shared" si="7"/>
        <v>0.5149253731343284</v>
      </c>
      <c r="E43" s="78">
        <f t="shared" si="7"/>
        <v>0.55135951661631433</v>
      </c>
      <c r="F43" s="78">
        <f t="shared" si="7"/>
        <v>0.65745310957551828</v>
      </c>
      <c r="G43" s="78">
        <f t="shared" si="7"/>
        <v>0.6294135696054457</v>
      </c>
      <c r="H43" s="78">
        <f t="shared" si="7"/>
        <v>0.65832829415045135</v>
      </c>
      <c r="I43" s="78">
        <f t="shared" si="7"/>
        <v>0.67981280222190232</v>
      </c>
      <c r="J43" s="78">
        <f t="shared" si="7"/>
        <v>0.68718169334756452</v>
      </c>
      <c r="K43" s="78">
        <f t="shared" si="7"/>
        <v>0.69380391772752692</v>
      </c>
    </row>
    <row r="45" spans="2:11" ht="15" customHeight="1" x14ac:dyDescent="0.25">
      <c r="B45" s="44" t="s">
        <v>202</v>
      </c>
      <c r="C45" s="69">
        <v>-8</v>
      </c>
      <c r="D45" s="69">
        <v>-9.5</v>
      </c>
      <c r="E45" s="69">
        <v>-10.6</v>
      </c>
      <c r="F45" s="69">
        <v>-15.3</v>
      </c>
      <c r="G45" s="77">
        <f>-F54*Assumptions!$C$55</f>
        <v>-9.6319999999999997</v>
      </c>
      <c r="H45" s="77">
        <f>-G54*Assumptions!$C$55</f>
        <v>-5.8520000000000003</v>
      </c>
      <c r="I45" s="77">
        <f>-H54*Assumptions!$C$55</f>
        <v>-2.9119999999999999</v>
      </c>
      <c r="J45" s="77">
        <f>-I54*Assumptions!$C$55</f>
        <v>-2.9119999999999999</v>
      </c>
      <c r="K45" s="77">
        <f>-J54*Assumptions!$C$55</f>
        <v>-2.9119999999999999</v>
      </c>
    </row>
    <row r="46" spans="2:11" ht="15" customHeight="1" x14ac:dyDescent="0.25">
      <c r="B46" s="58" t="s">
        <v>203</v>
      </c>
      <c r="C46" s="35">
        <f t="shared" ref="C46:K46" si="8">C36+C45</f>
        <v>9.1999999999999993</v>
      </c>
      <c r="D46" s="35">
        <f t="shared" si="8"/>
        <v>9.5</v>
      </c>
      <c r="E46" s="35">
        <f t="shared" si="8"/>
        <v>7.1000000000000068</v>
      </c>
      <c r="F46" s="35">
        <f t="shared" si="8"/>
        <v>-16.200000000000006</v>
      </c>
      <c r="G46" s="35">
        <f t="shared" si="8"/>
        <v>41.882121264592378</v>
      </c>
      <c r="H46" s="35">
        <f t="shared" si="8"/>
        <v>55.060616201840233</v>
      </c>
      <c r="I46" s="35">
        <f t="shared" si="8"/>
        <v>66.729831605032473</v>
      </c>
      <c r="J46" s="35">
        <f t="shared" si="8"/>
        <v>71.076314047412978</v>
      </c>
      <c r="K46" s="35">
        <f t="shared" si="8"/>
        <v>75.410953408513478</v>
      </c>
    </row>
    <row r="47" spans="2:11" ht="15" customHeight="1" x14ac:dyDescent="0.25">
      <c r="B47" s="44" t="s">
        <v>204</v>
      </c>
      <c r="C47" s="69">
        <v>-2</v>
      </c>
      <c r="D47" s="69">
        <v>-1.5</v>
      </c>
      <c r="E47" s="69">
        <v>-2.5</v>
      </c>
      <c r="F47" s="69">
        <v>21</v>
      </c>
      <c r="G47" s="77">
        <f>IF(G46&gt;0,-G46*Assumptions!$C$56,0)</f>
        <v>-11.726993954085867</v>
      </c>
      <c r="H47" s="77">
        <f>IF(H46&gt;0,-H46*Assumptions!$C$56,0)</f>
        <v>-15.416972536515267</v>
      </c>
      <c r="I47" s="77">
        <f>IF(I46&gt;0,-I46*Assumptions!$C$56,0)</f>
        <v>-18.684352849409095</v>
      </c>
      <c r="J47" s="77">
        <f>IF(J46&gt;0,-J46*Assumptions!$C$56,0)</f>
        <v>-19.901367933275637</v>
      </c>
      <c r="K47" s="77">
        <f>IF(K46&gt;0,-K46*Assumptions!$C$56,0)</f>
        <v>-21.115066954383774</v>
      </c>
    </row>
    <row r="48" spans="2:11" ht="15" customHeight="1" x14ac:dyDescent="0.25">
      <c r="B48" s="58" t="s">
        <v>205</v>
      </c>
      <c r="C48" s="35">
        <f t="shared" ref="C48:K48" si="9">C46+C47</f>
        <v>7.1999999999999993</v>
      </c>
      <c r="D48" s="35">
        <f t="shared" si="9"/>
        <v>8</v>
      </c>
      <c r="E48" s="35">
        <f t="shared" si="9"/>
        <v>4.6000000000000068</v>
      </c>
      <c r="F48" s="35">
        <f t="shared" si="9"/>
        <v>4.7999999999999936</v>
      </c>
      <c r="G48" s="35">
        <f t="shared" si="9"/>
        <v>30.155127310506511</v>
      </c>
      <c r="H48" s="35">
        <f t="shared" si="9"/>
        <v>39.643643665324966</v>
      </c>
      <c r="I48" s="35">
        <f t="shared" si="9"/>
        <v>48.045478755623378</v>
      </c>
      <c r="J48" s="35">
        <f t="shared" si="9"/>
        <v>51.174946114137342</v>
      </c>
      <c r="K48" s="35">
        <f t="shared" si="9"/>
        <v>54.2958864541297</v>
      </c>
    </row>
    <row r="49" spans="2:11" ht="15" customHeight="1" x14ac:dyDescent="0.25">
      <c r="B49" s="58" t="s">
        <v>206</v>
      </c>
      <c r="C49" s="84">
        <f>C48/(Assumptions!$C$69/(1+Assumptions!$C$70)^3)</f>
        <v>7.7106314509339219E-2</v>
      </c>
      <c r="D49" s="84">
        <f>D48/(Assumptions!$C$69/(1+Assumptions!$C$70)^2)</f>
        <v>8.4825428503123468E-2</v>
      </c>
      <c r="E49" s="84">
        <f>E48/(Assumptions!$C$69/(1+Assumptions!$C$70)^1)</f>
        <v>4.8291704345837697E-2</v>
      </c>
      <c r="F49" s="84">
        <f>F48/Assumptions!$C$69</f>
        <v>4.9892419470516633E-2</v>
      </c>
      <c r="G49" s="84">
        <f>G48/(Assumptions!$C$69*(1+Assumptions!$C$70)^1)</f>
        <v>0.31033668749229065</v>
      </c>
      <c r="H49" s="84">
        <f>H48/(Assumptions!$C$69*(1+Assumptions!$C$70)^2)</f>
        <v>0.40394677382325378</v>
      </c>
      <c r="I49" s="84">
        <f>I48/(Assumptions!$C$69*(1+Assumptions!$C$70)^3)</f>
        <v>0.48470972312487659</v>
      </c>
      <c r="J49" s="84">
        <f>J48/(Assumptions!$C$69*(1+Assumptions!$C$70)^4)</f>
        <v>0.51116984570408874</v>
      </c>
      <c r="K49" s="84">
        <f>K48/(Assumptions!$C$69*(1+Assumptions!$C$70)^5)</f>
        <v>0.53697415925344805</v>
      </c>
    </row>
    <row r="52" spans="2:11" ht="15" customHeight="1" x14ac:dyDescent="0.25">
      <c r="B52" s="72" t="s">
        <v>207</v>
      </c>
    </row>
    <row r="53" spans="2:11" ht="15" customHeight="1" x14ac:dyDescent="0.25">
      <c r="B53" s="44" t="s">
        <v>208</v>
      </c>
      <c r="C53" s="69">
        <v>5</v>
      </c>
      <c r="D53" s="69">
        <v>7.5</v>
      </c>
      <c r="E53" s="69">
        <v>8.8000000000000007</v>
      </c>
      <c r="F53" s="69">
        <v>11.6</v>
      </c>
      <c r="G53" s="85">
        <f>F53+G74</f>
        <v>14.755127310506515</v>
      </c>
      <c r="H53" s="85">
        <f>G53+H74</f>
        <v>33.398770975831482</v>
      </c>
      <c r="I53" s="85">
        <f>H53+I74</f>
        <v>81.44424973145486</v>
      </c>
      <c r="J53" s="85">
        <f>I53+J74</f>
        <v>132.6191958455922</v>
      </c>
      <c r="K53" s="85">
        <f>J53+K74</f>
        <v>186.91508229972192</v>
      </c>
    </row>
    <row r="54" spans="2:11" ht="15" customHeight="1" x14ac:dyDescent="0.25">
      <c r="B54" s="44" t="s">
        <v>209</v>
      </c>
      <c r="C54" s="69">
        <v>110</v>
      </c>
      <c r="D54" s="69">
        <v>99</v>
      </c>
      <c r="E54" s="69">
        <v>99.3</v>
      </c>
      <c r="F54" s="69">
        <v>68.8</v>
      </c>
      <c r="G54" s="77">
        <f>MAX(0,F54-MIN(Assumptions!$C$59,MAX(0,G72)))</f>
        <v>41.8</v>
      </c>
      <c r="H54" s="77">
        <f>MAX(0,G54-MIN(Assumptions!$C$60,MAX(0,H72)))</f>
        <v>20.799999999999997</v>
      </c>
      <c r="I54" s="77">
        <f>MAX(0,H54-MIN(Assumptions!$C$61,MAX(0,I72)))</f>
        <v>20.799999999999997</v>
      </c>
      <c r="J54" s="77">
        <f>MAX(0,I54-MIN(Assumptions!$C$62,MAX(0,J72)))</f>
        <v>20.799999999999997</v>
      </c>
      <c r="K54" s="77">
        <f>MAX(0,J54-MIN(Assumptions!$C$63,MAX(0,K72)))</f>
        <v>20.799999999999997</v>
      </c>
    </row>
    <row r="55" spans="2:11" ht="15" customHeight="1" x14ac:dyDescent="0.25">
      <c r="B55" s="58" t="s">
        <v>210</v>
      </c>
      <c r="C55" s="35">
        <f t="shared" ref="C55:K55" si="10">C54-C53</f>
        <v>105</v>
      </c>
      <c r="D55" s="35">
        <f t="shared" si="10"/>
        <v>91.5</v>
      </c>
      <c r="E55" s="35">
        <f t="shared" si="10"/>
        <v>90.5</v>
      </c>
      <c r="F55" s="35">
        <f t="shared" si="10"/>
        <v>57.199999999999996</v>
      </c>
      <c r="G55" s="35">
        <f t="shared" si="10"/>
        <v>27.044872689493481</v>
      </c>
      <c r="H55" s="35">
        <f t="shared" si="10"/>
        <v>-12.598770975831485</v>
      </c>
      <c r="I55" s="35">
        <f t="shared" si="10"/>
        <v>-60.644249731454863</v>
      </c>
      <c r="J55" s="35">
        <f t="shared" si="10"/>
        <v>-111.8191958455922</v>
      </c>
      <c r="K55" s="35">
        <f t="shared" si="10"/>
        <v>-166.11508229972191</v>
      </c>
    </row>
    <row r="56" spans="2:11" ht="15" customHeight="1" x14ac:dyDescent="0.25">
      <c r="B56" s="64" t="s">
        <v>211</v>
      </c>
      <c r="C56" s="86">
        <f t="shared" ref="C56:K56" si="11">IFERROR(C55/C42,"")</f>
        <v>3.4201954397394139</v>
      </c>
      <c r="D56" s="86">
        <f t="shared" si="11"/>
        <v>2.652173913043478</v>
      </c>
      <c r="E56" s="86">
        <f t="shared" si="11"/>
        <v>2.4794520547945202</v>
      </c>
      <c r="F56" s="86">
        <f t="shared" si="11"/>
        <v>0.85885885885885882</v>
      </c>
      <c r="G56" s="86">
        <f t="shared" si="11"/>
        <v>0.49159873988389641</v>
      </c>
      <c r="H56" s="86">
        <f t="shared" si="11"/>
        <v>-0.19559477193648819</v>
      </c>
      <c r="I56" s="86">
        <f t="shared" si="11"/>
        <v>-0.82913222708087442</v>
      </c>
      <c r="J56" s="86">
        <f t="shared" si="11"/>
        <v>-1.4430459253142751</v>
      </c>
      <c r="K56" s="86">
        <f t="shared" si="11"/>
        <v>-2.0301770515464921</v>
      </c>
    </row>
    <row r="57" spans="2:11" ht="15" customHeight="1" x14ac:dyDescent="0.25">
      <c r="B57" s="58" t="s">
        <v>212</v>
      </c>
      <c r="C57" s="70">
        <v>615</v>
      </c>
      <c r="D57" s="70">
        <v>605</v>
      </c>
      <c r="E57" s="70">
        <v>600</v>
      </c>
      <c r="F57" s="87">
        <f>Assumptions!$C$58</f>
        <v>596</v>
      </c>
      <c r="G57" s="88">
        <f>F57+G48</f>
        <v>626.15512731050649</v>
      </c>
      <c r="H57" s="88">
        <f>G57+H48</f>
        <v>665.79877097583142</v>
      </c>
      <c r="I57" s="88">
        <f>H57+I48</f>
        <v>713.84424973145474</v>
      </c>
      <c r="J57" s="88">
        <f>I57+J48</f>
        <v>765.01919584559209</v>
      </c>
      <c r="K57" s="88">
        <f>J57+K48</f>
        <v>819.31508229972178</v>
      </c>
    </row>
    <row r="58" spans="2:11" ht="15" customHeight="1" x14ac:dyDescent="0.25">
      <c r="B58" s="64" t="s">
        <v>213</v>
      </c>
      <c r="C58" s="89">
        <f t="shared" ref="C58:K58" si="12">C57+C55</f>
        <v>720</v>
      </c>
      <c r="D58" s="89">
        <f t="shared" si="12"/>
        <v>696.5</v>
      </c>
      <c r="E58" s="89">
        <f t="shared" si="12"/>
        <v>690.5</v>
      </c>
      <c r="F58" s="89">
        <f t="shared" si="12"/>
        <v>653.20000000000005</v>
      </c>
      <c r="G58" s="89">
        <f t="shared" si="12"/>
        <v>653.19999999999993</v>
      </c>
      <c r="H58" s="89">
        <f t="shared" si="12"/>
        <v>653.19999999999993</v>
      </c>
      <c r="I58" s="89">
        <f t="shared" si="12"/>
        <v>653.19999999999982</v>
      </c>
      <c r="J58" s="89">
        <f t="shared" si="12"/>
        <v>653.19999999999993</v>
      </c>
      <c r="K58" s="89">
        <f t="shared" si="12"/>
        <v>653.19999999999982</v>
      </c>
    </row>
    <row r="59" spans="2:11" ht="15" customHeight="1" x14ac:dyDescent="0.25">
      <c r="B59" s="44" t="s">
        <v>214</v>
      </c>
      <c r="C59" s="90">
        <v>3053</v>
      </c>
      <c r="D59" s="90">
        <v>2514</v>
      </c>
      <c r="E59" s="90">
        <v>2315</v>
      </c>
      <c r="F59" s="90">
        <v>2346</v>
      </c>
      <c r="G59" s="91">
        <f>F59*(1+Assumptions!$C$17)</f>
        <v>2533.6800000000003</v>
      </c>
      <c r="H59" s="91">
        <f>G59*(1+Assumptions!$C$17)</f>
        <v>2736.3744000000006</v>
      </c>
      <c r="I59" s="91">
        <f>H59*(1+Assumptions!$C$17)</f>
        <v>2955.284352000001</v>
      </c>
      <c r="J59" s="91">
        <f>I59*(1+Assumptions!$C$17)</f>
        <v>3191.7071001600011</v>
      </c>
      <c r="K59" s="91">
        <f>J59*(1+Assumptions!$C$17)</f>
        <v>3447.0436681728015</v>
      </c>
    </row>
    <row r="60" spans="2:11" ht="15" customHeight="1" x14ac:dyDescent="0.25">
      <c r="B60" s="44" t="s">
        <v>215</v>
      </c>
      <c r="C60" s="90">
        <v>582</v>
      </c>
      <c r="D60" s="90">
        <v>479</v>
      </c>
      <c r="E60" s="90">
        <v>441</v>
      </c>
      <c r="F60" s="90">
        <v>450</v>
      </c>
      <c r="G60" s="91">
        <f>F60*(1+Assumptions!$C$18)</f>
        <v>477</v>
      </c>
      <c r="H60" s="91">
        <f>G60*(1+Assumptions!$C$18)</f>
        <v>505.62</v>
      </c>
      <c r="I60" s="91">
        <f>H60*(1+Assumptions!$C$18)</f>
        <v>535.95720000000006</v>
      </c>
      <c r="J60" s="91">
        <f>I60*(1+Assumptions!$C$18)</f>
        <v>568.11463200000014</v>
      </c>
      <c r="K60" s="91">
        <f>J60*(1+Assumptions!$C$18)</f>
        <v>602.20150992000015</v>
      </c>
    </row>
    <row r="61" spans="2:11" ht="15" customHeight="1" x14ac:dyDescent="0.25">
      <c r="B61" s="58" t="s">
        <v>216</v>
      </c>
      <c r="C61" s="68">
        <f t="shared" ref="C61:K61" si="13">C59+C60</f>
        <v>3635</v>
      </c>
      <c r="D61" s="68">
        <f t="shared" si="13"/>
        <v>2993</v>
      </c>
      <c r="E61" s="68">
        <f t="shared" si="13"/>
        <v>2756</v>
      </c>
      <c r="F61" s="68">
        <f t="shared" si="13"/>
        <v>2796</v>
      </c>
      <c r="G61" s="68">
        <f t="shared" si="13"/>
        <v>3010.6800000000003</v>
      </c>
      <c r="H61" s="68">
        <f t="shared" si="13"/>
        <v>3241.9944000000005</v>
      </c>
      <c r="I61" s="68">
        <f t="shared" si="13"/>
        <v>3491.2415520000013</v>
      </c>
      <c r="J61" s="68">
        <f t="shared" si="13"/>
        <v>3759.8217321600014</v>
      </c>
      <c r="K61" s="68">
        <f t="shared" si="13"/>
        <v>4049.2451780928018</v>
      </c>
    </row>
    <row r="62" spans="2:11" ht="15" customHeight="1" x14ac:dyDescent="0.25">
      <c r="B62" s="58" t="s">
        <v>217</v>
      </c>
      <c r="C62" s="68">
        <f t="shared" ref="C62:K62" si="14">C61-C55</f>
        <v>3530</v>
      </c>
      <c r="D62" s="68">
        <f t="shared" si="14"/>
        <v>2901.5</v>
      </c>
      <c r="E62" s="68">
        <f t="shared" si="14"/>
        <v>2665.5</v>
      </c>
      <c r="F62" s="68">
        <f t="shared" si="14"/>
        <v>2738.8</v>
      </c>
      <c r="G62" s="68">
        <f t="shared" si="14"/>
        <v>2983.635127310507</v>
      </c>
      <c r="H62" s="68">
        <f t="shared" si="14"/>
        <v>3254.593170975832</v>
      </c>
      <c r="I62" s="68">
        <f t="shared" si="14"/>
        <v>3551.885801731456</v>
      </c>
      <c r="J62" s="68">
        <f t="shared" si="14"/>
        <v>3871.6409280055937</v>
      </c>
      <c r="K62" s="68">
        <f t="shared" si="14"/>
        <v>4215.3602603925237</v>
      </c>
    </row>
    <row r="63" spans="2:11" ht="15" customHeight="1" x14ac:dyDescent="0.25">
      <c r="B63" s="92" t="s">
        <v>218</v>
      </c>
      <c r="C63" s="93">
        <f>C62/(Assumptions!$C$69/(1+Assumptions!$C$70)^3)</f>
        <v>37.80351253027326</v>
      </c>
      <c r="D63" s="93">
        <f>D62/(Assumptions!$C$69/(1+Assumptions!$C$70)^2)</f>
        <v>30.765122600226594</v>
      </c>
      <c r="E63" s="93">
        <f>E62/(Assumptions!$C$69/(1+Assumptions!$C$70)^1)</f>
        <v>27.982943029093519</v>
      </c>
      <c r="F63" s="93">
        <f>F62/Assumptions!$C$69</f>
        <v>28.467783009552324</v>
      </c>
      <c r="G63" s="93">
        <f>G62/(Assumptions!$C$69*(1+Assumptions!$C$70)^1)</f>
        <v>30.705605470038019</v>
      </c>
      <c r="H63" s="93">
        <f>H62/(Assumptions!$C$69*(1+Assumptions!$C$70)^2)</f>
        <v>33.162501979423034</v>
      </c>
      <c r="I63" s="93">
        <f>I62/(Assumptions!$C$69*(1+Assumptions!$C$70)^3)</f>
        <v>35.833415091673523</v>
      </c>
      <c r="J63" s="93">
        <f>J62/(Assumptions!$C$69*(1+Assumptions!$C$70)^4)</f>
        <v>38.672558469847168</v>
      </c>
      <c r="K63" s="93">
        <f>K62/(Assumptions!$C$69*(1+Assumptions!$C$70)^5)</f>
        <v>41.688969084001549</v>
      </c>
    </row>
    <row r="66" spans="2:11" ht="15" customHeight="1" x14ac:dyDescent="0.25">
      <c r="B66" s="72" t="s">
        <v>219</v>
      </c>
    </row>
    <row r="67" spans="2:11" ht="15" customHeight="1" x14ac:dyDescent="0.25">
      <c r="B67" s="64" t="s">
        <v>220</v>
      </c>
      <c r="C67" s="74">
        <f t="shared" ref="C67:K67" si="15">C48</f>
        <v>7.1999999999999993</v>
      </c>
      <c r="D67" s="74">
        <f t="shared" si="15"/>
        <v>8</v>
      </c>
      <c r="E67" s="74">
        <f t="shared" si="15"/>
        <v>4.6000000000000068</v>
      </c>
      <c r="F67" s="74">
        <f t="shared" si="15"/>
        <v>4.7999999999999936</v>
      </c>
      <c r="G67" s="74">
        <f t="shared" si="15"/>
        <v>30.155127310506511</v>
      </c>
      <c r="H67" s="74">
        <f t="shared" si="15"/>
        <v>39.643643665324966</v>
      </c>
      <c r="I67" s="74">
        <f t="shared" si="15"/>
        <v>48.045478755623378</v>
      </c>
      <c r="J67" s="74">
        <f t="shared" si="15"/>
        <v>51.174946114137342</v>
      </c>
      <c r="K67" s="74">
        <f t="shared" si="15"/>
        <v>54.2958864541297</v>
      </c>
    </row>
    <row r="68" spans="2:11" ht="15" customHeight="1" x14ac:dyDescent="0.25">
      <c r="B68" s="64" t="s">
        <v>221</v>
      </c>
      <c r="C68" s="74">
        <f t="shared" ref="C68:K68" si="16">C38</f>
        <v>3</v>
      </c>
      <c r="D68" s="74">
        <f t="shared" si="16"/>
        <v>3.2</v>
      </c>
      <c r="E68" s="74">
        <f t="shared" si="16"/>
        <v>3.4</v>
      </c>
      <c r="F68" s="74">
        <f t="shared" si="16"/>
        <v>3.2</v>
      </c>
      <c r="G68" s="74">
        <f t="shared" si="16"/>
        <v>3.5</v>
      </c>
      <c r="H68" s="74">
        <f t="shared" si="16"/>
        <v>3.5</v>
      </c>
      <c r="I68" s="74">
        <f t="shared" si="16"/>
        <v>3.5</v>
      </c>
      <c r="J68" s="74">
        <f t="shared" si="16"/>
        <v>3.5</v>
      </c>
      <c r="K68" s="74">
        <f t="shared" si="16"/>
        <v>3.5</v>
      </c>
    </row>
    <row r="69" spans="2:11" ht="15" customHeight="1" x14ac:dyDescent="0.25">
      <c r="B69" s="64" t="s">
        <v>222</v>
      </c>
      <c r="C69" s="80">
        <v>34</v>
      </c>
      <c r="D69" s="80">
        <v>40.299999999999997</v>
      </c>
      <c r="E69" s="80">
        <v>54.6</v>
      </c>
      <c r="F69" s="80">
        <v>51.6</v>
      </c>
      <c r="G69" s="81">
        <f>Assumptions!$C$57</f>
        <v>0</v>
      </c>
      <c r="H69" s="81">
        <f>Assumptions!$C$57</f>
        <v>0</v>
      </c>
      <c r="I69" s="81">
        <f>Assumptions!$C$57</f>
        <v>0</v>
      </c>
      <c r="J69" s="81">
        <f>Assumptions!$C$57</f>
        <v>0</v>
      </c>
      <c r="K69" s="81">
        <f>Assumptions!$C$57</f>
        <v>0</v>
      </c>
    </row>
    <row r="70" spans="2:11" ht="15" customHeight="1" x14ac:dyDescent="0.25">
      <c r="B70" s="58" t="s">
        <v>223</v>
      </c>
      <c r="C70" s="35">
        <f t="shared" ref="C70:K70" si="17">C67+C68+C69</f>
        <v>44.2</v>
      </c>
      <c r="D70" s="35">
        <f t="shared" si="17"/>
        <v>51.5</v>
      </c>
      <c r="E70" s="35">
        <f t="shared" si="17"/>
        <v>62.600000000000009</v>
      </c>
      <c r="F70" s="35">
        <f t="shared" si="17"/>
        <v>59.599999999999994</v>
      </c>
      <c r="G70" s="35">
        <f t="shared" si="17"/>
        <v>33.655127310506515</v>
      </c>
      <c r="H70" s="35">
        <f t="shared" si="17"/>
        <v>43.143643665324966</v>
      </c>
      <c r="I70" s="35">
        <f t="shared" si="17"/>
        <v>51.545478755623378</v>
      </c>
      <c r="J70" s="35">
        <f t="shared" si="17"/>
        <v>54.674946114137342</v>
      </c>
      <c r="K70" s="35">
        <f t="shared" si="17"/>
        <v>57.7958864541297</v>
      </c>
    </row>
    <row r="71" spans="2:11" ht="15" customHeight="1" x14ac:dyDescent="0.25">
      <c r="B71" s="44" t="s">
        <v>224</v>
      </c>
      <c r="C71" s="69">
        <v>-2</v>
      </c>
      <c r="D71" s="69">
        <v>-2.5</v>
      </c>
      <c r="E71" s="69">
        <v>-3</v>
      </c>
      <c r="F71" s="69">
        <v>-3.2</v>
      </c>
      <c r="G71" s="77">
        <f>Assumptions!$C$53</f>
        <v>-3.5</v>
      </c>
      <c r="H71" s="77">
        <f>Assumptions!$C$53</f>
        <v>-3.5</v>
      </c>
      <c r="I71" s="77">
        <f>Assumptions!$C$53</f>
        <v>-3.5</v>
      </c>
      <c r="J71" s="77">
        <f>Assumptions!$C$53</f>
        <v>-3.5</v>
      </c>
      <c r="K71" s="77">
        <f>Assumptions!$C$53</f>
        <v>-3.5</v>
      </c>
    </row>
    <row r="72" spans="2:11" ht="15" customHeight="1" x14ac:dyDescent="0.25">
      <c r="B72" s="58" t="s">
        <v>225</v>
      </c>
      <c r="C72" s="35">
        <f t="shared" ref="C72:K72" si="18">C70+C71</f>
        <v>42.2</v>
      </c>
      <c r="D72" s="35">
        <f t="shared" si="18"/>
        <v>49</v>
      </c>
      <c r="E72" s="35">
        <f t="shared" si="18"/>
        <v>59.600000000000009</v>
      </c>
      <c r="F72" s="35">
        <f t="shared" si="18"/>
        <v>56.399999999999991</v>
      </c>
      <c r="G72" s="35">
        <f t="shared" si="18"/>
        <v>30.155127310506515</v>
      </c>
      <c r="H72" s="35">
        <f t="shared" si="18"/>
        <v>39.643643665324966</v>
      </c>
      <c r="I72" s="35">
        <f t="shared" si="18"/>
        <v>48.045478755623378</v>
      </c>
      <c r="J72" s="35">
        <f t="shared" si="18"/>
        <v>51.174946114137342</v>
      </c>
      <c r="K72" s="35">
        <f t="shared" si="18"/>
        <v>54.2958864541297</v>
      </c>
    </row>
    <row r="73" spans="2:11" ht="15" customHeight="1" x14ac:dyDescent="0.25">
      <c r="B73" s="44" t="s">
        <v>226</v>
      </c>
      <c r="C73" s="80">
        <v>0</v>
      </c>
      <c r="D73" s="69">
        <v>-11</v>
      </c>
      <c r="E73" s="69">
        <v>0.3</v>
      </c>
      <c r="F73" s="69">
        <v>-30.5</v>
      </c>
      <c r="G73" s="85">
        <f>G54-F54</f>
        <v>-27</v>
      </c>
      <c r="H73" s="85">
        <f>H54-G54</f>
        <v>-21</v>
      </c>
      <c r="I73" s="85">
        <f>I54-H54</f>
        <v>0</v>
      </c>
      <c r="J73" s="85">
        <f>J54-I54</f>
        <v>0</v>
      </c>
      <c r="K73" s="85">
        <f>K54-J54</f>
        <v>0</v>
      </c>
    </row>
    <row r="74" spans="2:11" ht="15" customHeight="1" x14ac:dyDescent="0.25">
      <c r="B74" s="58" t="s">
        <v>227</v>
      </c>
      <c r="C74" s="35">
        <f t="shared" ref="C74:K74" si="19">C72+C73</f>
        <v>42.2</v>
      </c>
      <c r="D74" s="35">
        <f t="shared" si="19"/>
        <v>38</v>
      </c>
      <c r="E74" s="35">
        <f t="shared" si="19"/>
        <v>59.900000000000006</v>
      </c>
      <c r="F74" s="35">
        <f t="shared" si="19"/>
        <v>25.899999999999991</v>
      </c>
      <c r="G74" s="35">
        <f t="shared" si="19"/>
        <v>3.155127310506515</v>
      </c>
      <c r="H74" s="35">
        <f t="shared" si="19"/>
        <v>18.643643665324966</v>
      </c>
      <c r="I74" s="35">
        <f t="shared" si="19"/>
        <v>48.045478755623378</v>
      </c>
      <c r="J74" s="35">
        <f t="shared" si="19"/>
        <v>51.174946114137342</v>
      </c>
      <c r="K74" s="35">
        <f t="shared" si="19"/>
        <v>54.2958864541297</v>
      </c>
    </row>
    <row r="77" spans="2:11" ht="15" customHeight="1" x14ac:dyDescent="0.25">
      <c r="B77" s="72" t="s">
        <v>228</v>
      </c>
    </row>
    <row r="78" spans="2:11" ht="15" customHeight="1" x14ac:dyDescent="0.25">
      <c r="B78" s="44" t="s">
        <v>229</v>
      </c>
      <c r="C78" s="94">
        <f>C36*(1-0.28)</f>
        <v>12.383999999999999</v>
      </c>
      <c r="D78" s="94">
        <f>D36*(1-0.28)</f>
        <v>13.68</v>
      </c>
      <c r="E78" s="94">
        <f>E36*(1-0.28)</f>
        <v>12.744000000000003</v>
      </c>
      <c r="F78" s="94">
        <f>F36*(1-0.28)</f>
        <v>-0.64800000000000402</v>
      </c>
      <c r="G78" s="77">
        <f>G36*(1-Assumptions!$C$56)</f>
        <v>37.090167310506509</v>
      </c>
      <c r="H78" s="77">
        <f>H36*(1-Assumptions!$C$56)</f>
        <v>43.857083665324971</v>
      </c>
      <c r="I78" s="77">
        <f>I36*(1-Assumptions!$C$56)</f>
        <v>50.142118755623386</v>
      </c>
      <c r="J78" s="77">
        <f>J36*(1-Assumptions!$C$56)</f>
        <v>53.271586114137349</v>
      </c>
      <c r="K78" s="77">
        <f>K36*(1-Assumptions!$C$56)</f>
        <v>56.392526454129708</v>
      </c>
    </row>
    <row r="79" spans="2:11" ht="15" customHeight="1" x14ac:dyDescent="0.25">
      <c r="B79" s="64" t="s">
        <v>230</v>
      </c>
      <c r="C79" s="83">
        <f>(C36+C40+C41)*(1-0.28)</f>
        <v>19.943999999999999</v>
      </c>
      <c r="D79" s="83">
        <f>(D36+D40+D41)*(1-0.28)</f>
        <v>22.536000000000001</v>
      </c>
      <c r="E79" s="83">
        <f>(E36+E40+E41)*(1-0.28)</f>
        <v>23.832000000000004</v>
      </c>
      <c r="F79" s="83">
        <f>(F36+F40+F41)*(1-0.28)</f>
        <v>45.647999999999989</v>
      </c>
      <c r="G79" s="74">
        <f>G78</f>
        <v>37.090167310506509</v>
      </c>
      <c r="H79" s="74">
        <f>H78</f>
        <v>43.857083665324971</v>
      </c>
      <c r="I79" s="74">
        <f>I78</f>
        <v>50.142118755623386</v>
      </c>
      <c r="J79" s="74">
        <f>J78</f>
        <v>53.271586114137349</v>
      </c>
      <c r="K79" s="74">
        <f>K78</f>
        <v>56.392526454129708</v>
      </c>
    </row>
    <row r="80" spans="2:11" ht="15" customHeight="1" x14ac:dyDescent="0.25">
      <c r="B80" s="64" t="s">
        <v>231</v>
      </c>
      <c r="C80" s="89">
        <f>C58</f>
        <v>720</v>
      </c>
      <c r="D80" s="89">
        <f t="shared" ref="D80:K80" si="20">(D58+C58)/2</f>
        <v>708.25</v>
      </c>
      <c r="E80" s="89">
        <f t="shared" si="20"/>
        <v>693.5</v>
      </c>
      <c r="F80" s="89">
        <f t="shared" si="20"/>
        <v>671.85</v>
      </c>
      <c r="G80" s="89">
        <f t="shared" si="20"/>
        <v>653.20000000000005</v>
      </c>
      <c r="H80" s="89">
        <f t="shared" si="20"/>
        <v>653.19999999999993</v>
      </c>
      <c r="I80" s="89">
        <f t="shared" si="20"/>
        <v>653.19999999999982</v>
      </c>
      <c r="J80" s="89">
        <f t="shared" si="20"/>
        <v>653.19999999999982</v>
      </c>
      <c r="K80" s="89">
        <f t="shared" si="20"/>
        <v>653.19999999999982</v>
      </c>
    </row>
    <row r="81" spans="2:11" ht="15" customHeight="1" x14ac:dyDescent="0.25">
      <c r="B81" s="58" t="s">
        <v>232</v>
      </c>
      <c r="C81" s="36">
        <f t="shared" ref="C81:K81" si="21">IFERROR(C78/C80,"")</f>
        <v>1.7199999999999997E-2</v>
      </c>
      <c r="D81" s="36">
        <f t="shared" si="21"/>
        <v>1.9315213554535828E-2</v>
      </c>
      <c r="E81" s="36">
        <f t="shared" si="21"/>
        <v>1.8376351838500365E-2</v>
      </c>
      <c r="F81" s="36">
        <f t="shared" si="21"/>
        <v>-9.6450100468855248E-4</v>
      </c>
      <c r="G81" s="36">
        <f t="shared" si="21"/>
        <v>5.6782252465564155E-2</v>
      </c>
      <c r="H81" s="36">
        <f t="shared" si="21"/>
        <v>6.7141891710540386E-2</v>
      </c>
      <c r="I81" s="36">
        <f t="shared" si="21"/>
        <v>7.6763807035553272E-2</v>
      </c>
      <c r="J81" s="36">
        <f t="shared" si="21"/>
        <v>8.1554785845280711E-2</v>
      </c>
      <c r="K81" s="36">
        <f t="shared" si="21"/>
        <v>8.6332710431919354E-2</v>
      </c>
    </row>
    <row r="82" spans="2:11" ht="15" customHeight="1" x14ac:dyDescent="0.25">
      <c r="B82" s="64" t="s">
        <v>233</v>
      </c>
      <c r="C82" s="78">
        <f t="shared" ref="C82:K82" si="22">IFERROR(C79/C80,"")</f>
        <v>2.7699999999999999E-2</v>
      </c>
      <c r="D82" s="78">
        <f t="shared" si="22"/>
        <v>3.1819272855630076E-2</v>
      </c>
      <c r="E82" s="78">
        <f t="shared" si="22"/>
        <v>3.4364816149963957E-2</v>
      </c>
      <c r="F82" s="78">
        <f t="shared" si="22"/>
        <v>6.7943737441393148E-2</v>
      </c>
      <c r="G82" s="78">
        <f t="shared" si="22"/>
        <v>5.6782252465564155E-2</v>
      </c>
      <c r="H82" s="78">
        <f t="shared" si="22"/>
        <v>6.7141891710540386E-2</v>
      </c>
      <c r="I82" s="78">
        <f t="shared" si="22"/>
        <v>7.6763807035553272E-2</v>
      </c>
      <c r="J82" s="78">
        <f t="shared" si="22"/>
        <v>8.1554785845280711E-2</v>
      </c>
      <c r="K82" s="78">
        <f t="shared" si="22"/>
        <v>8.6332710431919354E-2</v>
      </c>
    </row>
    <row r="84" spans="2:11" ht="15" customHeight="1" x14ac:dyDescent="0.25">
      <c r="B84" s="64" t="s">
        <v>234</v>
      </c>
      <c r="C84" s="89">
        <f>C57</f>
        <v>615</v>
      </c>
      <c r="D84" s="89">
        <f t="shared" ref="D84:K84" si="23">(D57+C57)/2</f>
        <v>610</v>
      </c>
      <c r="E84" s="89">
        <f t="shared" si="23"/>
        <v>602.5</v>
      </c>
      <c r="F84" s="89">
        <f t="shared" si="23"/>
        <v>598</v>
      </c>
      <c r="G84" s="89">
        <f t="shared" si="23"/>
        <v>611.07756365525324</v>
      </c>
      <c r="H84" s="89">
        <f t="shared" si="23"/>
        <v>645.97694914316889</v>
      </c>
      <c r="I84" s="89">
        <f t="shared" si="23"/>
        <v>689.82151035364313</v>
      </c>
      <c r="J84" s="89">
        <f t="shared" si="23"/>
        <v>739.43172278852342</v>
      </c>
      <c r="K84" s="89">
        <f t="shared" si="23"/>
        <v>792.16713907265694</v>
      </c>
    </row>
    <row r="85" spans="2:11" ht="15" customHeight="1" x14ac:dyDescent="0.25">
      <c r="B85" s="58" t="s">
        <v>235</v>
      </c>
      <c r="C85" s="36">
        <f t="shared" ref="C85:K85" si="24">IFERROR(C48/C84,"")</f>
        <v>1.170731707317073E-2</v>
      </c>
      <c r="D85" s="36">
        <f t="shared" si="24"/>
        <v>1.3114754098360656E-2</v>
      </c>
      <c r="E85" s="36">
        <f t="shared" si="24"/>
        <v>7.6348547717842432E-3</v>
      </c>
      <c r="F85" s="36">
        <f t="shared" si="24"/>
        <v>8.0267558528427981E-3</v>
      </c>
      <c r="G85" s="36">
        <f t="shared" si="24"/>
        <v>4.9347462751093391E-2</v>
      </c>
      <c r="H85" s="36">
        <f t="shared" si="24"/>
        <v>6.1370059284481811E-2</v>
      </c>
      <c r="I85" s="36">
        <f t="shared" si="24"/>
        <v>6.9649145517356278E-2</v>
      </c>
      <c r="J85" s="36">
        <f t="shared" si="24"/>
        <v>6.9208480698052646E-2</v>
      </c>
      <c r="K85" s="36">
        <f t="shared" si="24"/>
        <v>6.8540947706680524E-2</v>
      </c>
    </row>
    <row r="86" spans="2:11" ht="15" customHeight="1" x14ac:dyDescent="0.25">
      <c r="B86" s="64" t="s">
        <v>236</v>
      </c>
      <c r="C86" s="78">
        <f>IFERROR((C48+(C40+C41)*(1-0.28))/C84,"")</f>
        <v>2.3999999999999997E-2</v>
      </c>
      <c r="D86" s="78">
        <f>IFERROR((D48+(D40+D41)*(1-0.28))/D84,"")</f>
        <v>2.7632786885245904E-2</v>
      </c>
      <c r="E86" s="78">
        <f>IFERROR((E48+(E40+E41)*(1-0.28))/E84,"")</f>
        <v>2.6038174273858929E-2</v>
      </c>
      <c r="F86" s="78">
        <f>IFERROR((F48+(F40+F41)*(1-0.28))/F84,"")</f>
        <v>8.5444816053511688E-2</v>
      </c>
      <c r="G86" s="78">
        <f>IFERROR(G48/G84,"")</f>
        <v>4.9347462751093391E-2</v>
      </c>
      <c r="H86" s="78">
        <f>IFERROR(H48/H84,"")</f>
        <v>6.1370059284481811E-2</v>
      </c>
      <c r="I86" s="78">
        <f>IFERROR(I48/I84,"")</f>
        <v>6.9649145517356278E-2</v>
      </c>
      <c r="J86" s="78">
        <f>IFERROR(J48/J84,"")</f>
        <v>6.9208480698052646E-2</v>
      </c>
      <c r="K86" s="78">
        <f>IFERROR(K48/K84,"")</f>
        <v>6.8540947706680524E-2</v>
      </c>
    </row>
    <row r="88" spans="2:11" ht="60" customHeight="1" x14ac:dyDescent="0.25">
      <c r="B88" s="192" t="s">
        <v>237</v>
      </c>
      <c r="C88" s="192"/>
      <c r="D88" s="192"/>
      <c r="E88" s="192"/>
      <c r="F88" s="192"/>
      <c r="G88" s="192"/>
      <c r="H88" s="192"/>
      <c r="I88" s="192"/>
      <c r="J88" s="192"/>
      <c r="K88" s="192"/>
    </row>
  </sheetData>
  <mergeCells count="1">
    <mergeCell ref="B88:K88"/>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1"/>
  <sheetViews>
    <sheetView showGridLines="0" zoomScaleNormal="100" workbookViewId="0">
      <pane xSplit="2" ySplit="4" topLeftCell="C35" activePane="bottomRight" state="frozen"/>
      <selection pane="topRight" activeCell="C1" sqref="C1"/>
      <selection pane="bottomLeft" activeCell="A5" sqref="A5"/>
      <selection pane="bottomRight" activeCell="E45" sqref="E45"/>
    </sheetView>
  </sheetViews>
  <sheetFormatPr defaultColWidth="8.7109375" defaultRowHeight="15" x14ac:dyDescent="0.25"/>
  <cols>
    <col min="1" max="1" width="2" customWidth="1"/>
    <col min="2" max="2" width="38" customWidth="1"/>
    <col min="3" max="9" width="14" customWidth="1"/>
  </cols>
  <sheetData>
    <row r="1" spans="1:9" ht="15" customHeight="1" x14ac:dyDescent="0.25">
      <c r="A1" s="25" t="s">
        <v>1</v>
      </c>
    </row>
    <row r="2" spans="1:9" ht="17.25" customHeight="1" x14ac:dyDescent="0.25">
      <c r="A2" s="26" t="s">
        <v>40</v>
      </c>
      <c r="B2" s="27" t="s">
        <v>333</v>
      </c>
      <c r="C2" s="28" t="s">
        <v>42</v>
      </c>
      <c r="D2" s="29" t="s">
        <v>43</v>
      </c>
      <c r="E2" s="30" t="s">
        <v>44</v>
      </c>
    </row>
    <row r="3" spans="1:9" ht="15" customHeight="1" x14ac:dyDescent="0.25">
      <c r="B3" s="191" t="s">
        <v>334</v>
      </c>
      <c r="C3" s="191"/>
      <c r="D3" s="191"/>
      <c r="E3" s="191"/>
      <c r="F3" s="191"/>
      <c r="G3" s="191"/>
      <c r="H3" s="191"/>
      <c r="I3" s="191"/>
    </row>
    <row r="5" spans="1:9" ht="31.5" customHeight="1" x14ac:dyDescent="0.25">
      <c r="B5" s="31"/>
      <c r="C5" s="123" t="s">
        <v>62</v>
      </c>
      <c r="D5" s="123" t="s">
        <v>63</v>
      </c>
      <c r="E5" s="123" t="s">
        <v>64</v>
      </c>
      <c r="F5" s="123" t="s">
        <v>65</v>
      </c>
      <c r="G5" s="123" t="s">
        <v>66</v>
      </c>
      <c r="H5" s="124" t="s">
        <v>335</v>
      </c>
    </row>
    <row r="6" spans="1:9" ht="15" customHeight="1" x14ac:dyDescent="0.25">
      <c r="B6" s="58" t="s">
        <v>68</v>
      </c>
      <c r="C6" s="125">
        <v>0.1</v>
      </c>
      <c r="D6" s="125">
        <v>0.15</v>
      </c>
      <c r="E6" s="125">
        <v>0.35</v>
      </c>
      <c r="F6" s="125">
        <v>0.3</v>
      </c>
      <c r="G6" s="125">
        <v>0.1</v>
      </c>
      <c r="H6" s="59">
        <f>SUM(C6:G6)</f>
        <v>0.99999999999999989</v>
      </c>
    </row>
    <row r="8" spans="1:9" ht="21.75" customHeight="1" x14ac:dyDescent="0.25">
      <c r="B8" s="2" t="s">
        <v>336</v>
      </c>
      <c r="C8" s="43"/>
      <c r="D8" s="43"/>
      <c r="E8" s="43"/>
      <c r="F8" s="43"/>
      <c r="G8" s="43"/>
      <c r="H8" s="43"/>
    </row>
    <row r="9" spans="1:9" ht="15" customHeight="1" x14ac:dyDescent="0.25">
      <c r="B9" s="44" t="s">
        <v>49</v>
      </c>
      <c r="C9" s="108">
        <f>Assumptions!$C$33</f>
        <v>120</v>
      </c>
      <c r="D9" s="108">
        <f>Assumptions!$D$33</f>
        <v>130</v>
      </c>
      <c r="E9" s="108">
        <f>Assumptions!$E$33</f>
        <v>140</v>
      </c>
      <c r="F9" s="108">
        <f>Assumptions!$F$33</f>
        <v>150</v>
      </c>
      <c r="G9" s="108">
        <f>Assumptions!$G$33</f>
        <v>160</v>
      </c>
    </row>
    <row r="10" spans="1:9" ht="15" customHeight="1" x14ac:dyDescent="0.25">
      <c r="B10" s="44" t="s">
        <v>337</v>
      </c>
      <c r="C10" s="108">
        <f>Assumptions!$C$35</f>
        <v>65</v>
      </c>
      <c r="D10" s="108">
        <f>Assumptions!$D$35</f>
        <v>68</v>
      </c>
      <c r="E10" s="108">
        <f>Assumptions!$E$35</f>
        <v>72</v>
      </c>
      <c r="F10" s="108">
        <f>Assumptions!$F$35</f>
        <v>76</v>
      </c>
      <c r="G10" s="108">
        <f>Assumptions!$G$35</f>
        <v>79</v>
      </c>
    </row>
    <row r="11" spans="1:9" ht="15" customHeight="1" x14ac:dyDescent="0.25">
      <c r="B11" s="44" t="s">
        <v>50</v>
      </c>
      <c r="C11" s="108">
        <f>Assumptions!$C$34</f>
        <v>20.5</v>
      </c>
      <c r="D11" s="108">
        <f>Assumptions!$D$34</f>
        <v>21.25</v>
      </c>
      <c r="E11" s="108">
        <f>Assumptions!$E$34</f>
        <v>22</v>
      </c>
      <c r="F11" s="108">
        <f>Assumptions!$F$34</f>
        <v>23</v>
      </c>
      <c r="G11" s="108">
        <f>Assumptions!$G$34</f>
        <v>24</v>
      </c>
    </row>
    <row r="12" spans="1:9" ht="15" customHeight="1" x14ac:dyDescent="0.25">
      <c r="B12" s="44" t="s">
        <v>338</v>
      </c>
      <c r="C12" s="126">
        <f>Assumptions!$C$36</f>
        <v>0.04</v>
      </c>
      <c r="D12" s="126">
        <f>Assumptions!$D$36</f>
        <v>0.03</v>
      </c>
      <c r="E12" s="126">
        <f>Assumptions!$E$36</f>
        <v>0.02</v>
      </c>
      <c r="F12" s="126">
        <f>Assumptions!$F$36</f>
        <v>0.01</v>
      </c>
      <c r="G12" s="126">
        <f>Assumptions!$G$36</f>
        <v>0.01</v>
      </c>
    </row>
    <row r="13" spans="1:9" ht="15" customHeight="1" x14ac:dyDescent="0.25">
      <c r="B13" s="44" t="s">
        <v>339</v>
      </c>
      <c r="C13" s="108">
        <f>Assumptions!$C$37</f>
        <v>4</v>
      </c>
      <c r="D13" s="108">
        <f>Assumptions!$D$37</f>
        <v>4</v>
      </c>
      <c r="E13" s="108">
        <f>Assumptions!$E$37</f>
        <v>3</v>
      </c>
      <c r="F13" s="108">
        <f>Assumptions!$F$37</f>
        <v>2</v>
      </c>
      <c r="G13" s="108">
        <f>Assumptions!$G$37</f>
        <v>2</v>
      </c>
    </row>
    <row r="14" spans="1:9" ht="15" customHeight="1" x14ac:dyDescent="0.25">
      <c r="B14" s="44" t="s">
        <v>56</v>
      </c>
      <c r="C14" s="126">
        <f>Assumptions!$C$40</f>
        <v>0.04</v>
      </c>
      <c r="D14" s="126">
        <f>Assumptions!$D$40</f>
        <v>0.06</v>
      </c>
      <c r="E14" s="126">
        <f>Assumptions!$E$40</f>
        <v>0.08</v>
      </c>
      <c r="F14" s="126">
        <f>Assumptions!$F$40</f>
        <v>0.1</v>
      </c>
      <c r="G14" s="126">
        <f>Assumptions!$G$40</f>
        <v>0.12</v>
      </c>
    </row>
    <row r="15" spans="1:9" ht="15" customHeight="1" x14ac:dyDescent="0.25">
      <c r="B15" s="44" t="s">
        <v>57</v>
      </c>
      <c r="C15" s="126">
        <f>Assumptions!$C$41</f>
        <v>0.04</v>
      </c>
      <c r="D15" s="126">
        <f>Assumptions!$D$41</f>
        <v>0.04</v>
      </c>
      <c r="E15" s="126">
        <f>Assumptions!$E$41</f>
        <v>0.06</v>
      </c>
      <c r="F15" s="126">
        <f>Assumptions!$F$41</f>
        <v>0.08</v>
      </c>
      <c r="G15" s="126">
        <f>Assumptions!$G$41</f>
        <v>0.08</v>
      </c>
    </row>
    <row r="16" spans="1:9" ht="15" customHeight="1" x14ac:dyDescent="0.25">
      <c r="B16" s="44" t="s">
        <v>340</v>
      </c>
      <c r="C16" s="126">
        <f>Assumptions!$C$38</f>
        <v>0.4</v>
      </c>
      <c r="D16" s="126">
        <f>Assumptions!$D$38</f>
        <v>0.45</v>
      </c>
      <c r="E16" s="126">
        <f>Assumptions!$E$38</f>
        <v>0.55000000000000004</v>
      </c>
      <c r="F16" s="126">
        <f>Assumptions!$F$38</f>
        <v>0.65</v>
      </c>
      <c r="G16" s="126">
        <f>Assumptions!$G$38</f>
        <v>0.75</v>
      </c>
    </row>
    <row r="17" spans="2:8" ht="15" customHeight="1" x14ac:dyDescent="0.25">
      <c r="B17" s="44" t="s">
        <v>55</v>
      </c>
      <c r="C17" s="126">
        <f>Assumptions!$C$39</f>
        <v>0.14000000000000001</v>
      </c>
      <c r="D17" s="126">
        <f>Assumptions!$D$39</f>
        <v>0.14000000000000001</v>
      </c>
      <c r="E17" s="126">
        <f>Assumptions!$E$39</f>
        <v>0.14000000000000001</v>
      </c>
      <c r="F17" s="126">
        <f>Assumptions!$F$39</f>
        <v>0.14000000000000001</v>
      </c>
      <c r="G17" s="126">
        <f>Assumptions!$G$39</f>
        <v>0.14000000000000001</v>
      </c>
    </row>
    <row r="18" spans="2:8" ht="15" customHeight="1" x14ac:dyDescent="0.25">
      <c r="B18" s="44" t="s">
        <v>58</v>
      </c>
      <c r="C18" s="126">
        <f>Assumptions!$C$42</f>
        <v>0.14000000000000001</v>
      </c>
      <c r="D18" s="126">
        <f>Assumptions!$D$42</f>
        <v>0.14000000000000001</v>
      </c>
      <c r="E18" s="126">
        <f>Assumptions!$E$42</f>
        <v>0.14000000000000001</v>
      </c>
      <c r="F18" s="126">
        <f>Assumptions!$F$42</f>
        <v>0.14000000000000001</v>
      </c>
      <c r="G18" s="126">
        <f>Assumptions!$G$42</f>
        <v>0.14000000000000001</v>
      </c>
    </row>
    <row r="19" spans="2:8" ht="15" customHeight="1" x14ac:dyDescent="0.25">
      <c r="B19" s="44" t="s">
        <v>59</v>
      </c>
      <c r="C19" s="126">
        <f>Assumptions!$C$43</f>
        <v>0.06</v>
      </c>
      <c r="D19" s="126">
        <f>Assumptions!$D$43</f>
        <v>0.06</v>
      </c>
      <c r="E19" s="126">
        <f>Assumptions!$E$43</f>
        <v>0.08</v>
      </c>
      <c r="F19" s="126">
        <f>Assumptions!$F$43</f>
        <v>0.1</v>
      </c>
      <c r="G19" s="126">
        <f>Assumptions!$G$43</f>
        <v>0.12</v>
      </c>
    </row>
    <row r="20" spans="2:8" ht="15" customHeight="1" x14ac:dyDescent="0.25">
      <c r="B20" s="44" t="s">
        <v>60</v>
      </c>
      <c r="C20" s="126">
        <f>Assumptions!$C$44</f>
        <v>0.06</v>
      </c>
      <c r="D20" s="126">
        <f>Assumptions!$D$44</f>
        <v>0.06</v>
      </c>
      <c r="E20" s="126">
        <f>Assumptions!$E$44</f>
        <v>0.08</v>
      </c>
      <c r="F20" s="126">
        <f>Assumptions!$F$44</f>
        <v>0.1</v>
      </c>
      <c r="G20" s="126">
        <f>Assumptions!$G$44</f>
        <v>0.12</v>
      </c>
    </row>
    <row r="22" spans="2:8" ht="21.75" customHeight="1" x14ac:dyDescent="0.25">
      <c r="B22" s="2" t="s">
        <v>341</v>
      </c>
      <c r="C22" s="43"/>
      <c r="D22" s="43"/>
      <c r="E22" s="43"/>
      <c r="F22" s="43"/>
      <c r="G22" s="43"/>
      <c r="H22" s="43"/>
    </row>
    <row r="23" spans="2:8" ht="15" customHeight="1" x14ac:dyDescent="0.25">
      <c r="B23" s="44" t="s">
        <v>342</v>
      </c>
      <c r="C23" s="109">
        <f>108.85+(C9-108.85)*3/5</f>
        <v>115.53999999999999</v>
      </c>
      <c r="D23" s="109">
        <f>108.85+(D9-108.85)*3/5</f>
        <v>121.53999999999999</v>
      </c>
      <c r="E23" s="109">
        <f>108.85+(E9-108.85)*3/5</f>
        <v>127.53999999999999</v>
      </c>
      <c r="F23" s="109">
        <f>108.85+(F9-108.85)*3/5</f>
        <v>133.54</v>
      </c>
      <c r="G23" s="109">
        <f>108.85+(G9-108.85)*3/5</f>
        <v>139.54</v>
      </c>
    </row>
    <row r="24" spans="2:8" ht="15" customHeight="1" x14ac:dyDescent="0.25">
      <c r="B24" s="44" t="s">
        <v>343</v>
      </c>
      <c r="C24" s="109">
        <f>67+(C10-67)*3/5</f>
        <v>65.8</v>
      </c>
      <c r="D24" s="109">
        <f>67+(D10-67)*3/5</f>
        <v>67.599999999999994</v>
      </c>
      <c r="E24" s="109">
        <f>67+(E10-67)*3/5</f>
        <v>70</v>
      </c>
      <c r="F24" s="109">
        <f>67+(F10-67)*3/5</f>
        <v>72.400000000000006</v>
      </c>
      <c r="G24" s="109">
        <f>67+(G10-67)*3/5</f>
        <v>74.2</v>
      </c>
    </row>
    <row r="25" spans="2:8" ht="15" customHeight="1" x14ac:dyDescent="0.25">
      <c r="B25" s="44" t="s">
        <v>344</v>
      </c>
      <c r="C25" s="122">
        <f>C11/C24</f>
        <v>0.31155015197568392</v>
      </c>
      <c r="D25" s="122">
        <f>D11/D24</f>
        <v>0.31434911242603553</v>
      </c>
      <c r="E25" s="122">
        <f>E11/E24</f>
        <v>0.31428571428571428</v>
      </c>
      <c r="F25" s="122">
        <f>F11/F24</f>
        <v>0.31767955801104969</v>
      </c>
      <c r="G25" s="122">
        <f>G11/G24</f>
        <v>0.32345013477088946</v>
      </c>
    </row>
    <row r="26" spans="2:8" ht="15" customHeight="1" x14ac:dyDescent="0.25">
      <c r="B26" s="44" t="s">
        <v>345</v>
      </c>
      <c r="C26" s="109">
        <f>39.099*C11*C23/1000*0.965</f>
        <v>89.36741328494999</v>
      </c>
      <c r="D26" s="109">
        <f>39.099*D11*D23/1000*0.965</f>
        <v>97.447596007874964</v>
      </c>
      <c r="E26" s="109">
        <f>39.099*E11*E23/1000*0.965</f>
        <v>105.86735354579999</v>
      </c>
      <c r="F26" s="109">
        <f>39.099*F11*F23/1000*0.965</f>
        <v>115.88631980969998</v>
      </c>
      <c r="G26" s="109">
        <f>39.099*G11*G23/1000*0.965</f>
        <v>126.35805249359998</v>
      </c>
    </row>
    <row r="27" spans="2:8" ht="15" customHeight="1" x14ac:dyDescent="0.25">
      <c r="B27" s="44" t="s">
        <v>346</v>
      </c>
      <c r="C27" s="109">
        <f>C26+7</f>
        <v>96.36741328494999</v>
      </c>
      <c r="D27" s="109">
        <f>D26+7</f>
        <v>104.44759600787496</v>
      </c>
      <c r="E27" s="109">
        <f>E26+7</f>
        <v>112.86735354579999</v>
      </c>
      <c r="F27" s="109">
        <f>F26+7</f>
        <v>122.88631980969998</v>
      </c>
      <c r="G27" s="109">
        <f>G26+7</f>
        <v>133.35805249359998</v>
      </c>
    </row>
    <row r="28" spans="2:8" ht="15" customHeight="1" x14ac:dyDescent="0.25">
      <c r="B28" s="44" t="s">
        <v>347</v>
      </c>
      <c r="C28" s="109">
        <f>Model!F32*(1+C12)^3</f>
        <v>-31.383705600000003</v>
      </c>
      <c r="D28" s="109">
        <f>Model!F32*(1+D12)^3</f>
        <v>-30.487083299999998</v>
      </c>
      <c r="E28" s="109">
        <f>Model!F32*(1+E12)^3</f>
        <v>-29.607703199999996</v>
      </c>
      <c r="F28" s="109">
        <f>Model!F32*(1+F12)^3</f>
        <v>-28.745397899999997</v>
      </c>
      <c r="G28" s="109">
        <f>Model!F32*(1+G12)^3</f>
        <v>-28.745397899999997</v>
      </c>
    </row>
    <row r="29" spans="2:8" ht="15" customHeight="1" x14ac:dyDescent="0.25">
      <c r="B29" s="58" t="s">
        <v>348</v>
      </c>
      <c r="C29" s="63">
        <f>C27*(1-Assumptions!$C$54)+C28+Assumptions!$C$51-C13+Assumptions!$C$52</f>
        <v>59.64717408712724</v>
      </c>
      <c r="D29" s="63">
        <f>D27*(1-Assumptions!$C$54)+D28+Assumptions!$C$51-D13+Assumptions!$C$52</f>
        <v>68.260370887520594</v>
      </c>
      <c r="E29" s="63">
        <f>E27*(1-Assumptions!$C$54)+E28+Assumptions!$C$51-E13+Assumptions!$C$52</f>
        <v>78.180619436238999</v>
      </c>
      <c r="F29" s="63">
        <f>F27*(1-Assumptions!$C$54)+F28+Assumptions!$C$51-F13+Assumptions!$C$52</f>
        <v>89.611037518263473</v>
      </c>
      <c r="G29" s="63">
        <f>G27*(1-Assumptions!$C$54)+G28+Assumptions!$C$51-G13+Assumptions!$C$52</f>
        <v>99.611542231387986</v>
      </c>
    </row>
    <row r="30" spans="2:8" ht="15" customHeight="1" x14ac:dyDescent="0.25">
      <c r="B30" s="44" t="s">
        <v>349</v>
      </c>
      <c r="C30" s="62">
        <f>Model!F59*(1+C14)^3+Model!F60*(1+C15)^3</f>
        <v>3145.1197440000001</v>
      </c>
      <c r="D30" s="62">
        <f>Model!F59*(1+D14)^3+Model!F60*(1+D15)^3</f>
        <v>3300.3123360000004</v>
      </c>
      <c r="E30" s="62">
        <f>Model!F59*(1+E14)^3+Model!F60*(1+E15)^3</f>
        <v>3491.2415520000009</v>
      </c>
      <c r="F30" s="62">
        <f>Model!F59*(1+F14)^3+Model!F60*(1+F15)^3</f>
        <v>3689.3964000000005</v>
      </c>
      <c r="G30" s="62">
        <f>Model!F59*(1+G14)^3+Model!F60*(1+G15)^3</f>
        <v>3862.8314880000007</v>
      </c>
    </row>
    <row r="31" spans="2:8" ht="15" customHeight="1" x14ac:dyDescent="0.25">
      <c r="B31" s="44" t="s">
        <v>350</v>
      </c>
      <c r="C31" s="62">
        <f>Model!F55-1.5*C29</f>
        <v>-32.270761130690865</v>
      </c>
      <c r="D31" s="62">
        <f>Model!F55-1.5*D29</f>
        <v>-45.190556331280895</v>
      </c>
      <c r="E31" s="62">
        <f>Model!F55-1.5*E29</f>
        <v>-60.070929154358502</v>
      </c>
      <c r="F31" s="62">
        <f>Model!F55-1.5*F29</f>
        <v>-77.216556277395227</v>
      </c>
      <c r="G31" s="62">
        <f>Model!F55-1.5*G29</f>
        <v>-92.217313347081983</v>
      </c>
    </row>
    <row r="32" spans="2:8" ht="15" customHeight="1" x14ac:dyDescent="0.25">
      <c r="B32" s="58" t="s">
        <v>351</v>
      </c>
      <c r="C32" s="115">
        <f>(C30-C31)/(Assumptions!$C$69*(1+Assumptions!$C$70)^3)</f>
        <v>32.055296604183596</v>
      </c>
      <c r="D32" s="115">
        <f>(D30-D31)/(Assumptions!$C$69*(1+Assumptions!$C$70)^3)</f>
        <v>33.751308607067898</v>
      </c>
      <c r="E32" s="115">
        <f>(E30-E31)/(Assumptions!$C$69*(1+Assumptions!$C$70)^3)</f>
        <v>35.827631112298484</v>
      </c>
      <c r="F32" s="115">
        <f>(F30-F31)/(Assumptions!$C$69*(1+Assumptions!$C$70)^3)</f>
        <v>37.999702998944571</v>
      </c>
      <c r="G32" s="115">
        <f>(G30-G31)/(Assumptions!$C$69*(1+Assumptions!$C$70)^3)</f>
        <v>39.900749437780185</v>
      </c>
    </row>
    <row r="33" spans="2:8" ht="15" customHeight="1" x14ac:dyDescent="0.25">
      <c r="B33" s="79" t="s">
        <v>352</v>
      </c>
      <c r="C33" s="127">
        <f>Model!F42/Model!F61</f>
        <v>2.3819742489270383E-2</v>
      </c>
      <c r="D33" s="127">
        <f>Model!F42/Model!F61</f>
        <v>2.3819742489270383E-2</v>
      </c>
      <c r="E33" s="127">
        <f>Model!F42/Model!F61</f>
        <v>2.3819742489270383E-2</v>
      </c>
      <c r="F33" s="127">
        <f>Model!F42/Model!F61</f>
        <v>2.3819742489270383E-2</v>
      </c>
      <c r="G33" s="127">
        <f>Model!F42/Model!F61</f>
        <v>2.3819742489270383E-2</v>
      </c>
    </row>
    <row r="34" spans="2:8" ht="15" customHeight="1" x14ac:dyDescent="0.25">
      <c r="B34" s="58" t="s">
        <v>353</v>
      </c>
      <c r="C34" s="112">
        <f>C29/C30</f>
        <v>1.8964993050238292E-2</v>
      </c>
      <c r="D34" s="112">
        <f>D29/D30</f>
        <v>2.068300328515349E-2</v>
      </c>
      <c r="E34" s="112">
        <f>E29/E30</f>
        <v>2.2393357283300053E-2</v>
      </c>
      <c r="F34" s="112">
        <f>F29/F30</f>
        <v>2.4288807111717096E-2</v>
      </c>
      <c r="G34" s="112">
        <f>G29/G30</f>
        <v>2.5787182935842312E-2</v>
      </c>
    </row>
    <row r="37" spans="2:8" ht="21.75" customHeight="1" x14ac:dyDescent="0.25">
      <c r="B37" s="2" t="s">
        <v>354</v>
      </c>
      <c r="C37" s="43"/>
      <c r="D37" s="43"/>
      <c r="E37" s="43"/>
      <c r="F37" s="43"/>
      <c r="G37" s="43"/>
      <c r="H37" s="43"/>
    </row>
    <row r="38" spans="2:8" ht="15" customHeight="1" x14ac:dyDescent="0.25">
      <c r="B38" s="79" t="s">
        <v>355</v>
      </c>
      <c r="C38" s="65">
        <f>C29*(1-Assumptions!$C$56)+Assumptions!$C$53</f>
        <v>39.445965342731611</v>
      </c>
      <c r="D38" s="65">
        <f>D29*(1-Assumptions!$C$56)+Assumptions!$C$53</f>
        <v>45.647467039014828</v>
      </c>
      <c r="E38" s="65">
        <f>E29*(1-Assumptions!$C$56)+Assumptions!$C$53</f>
        <v>52.790045994092075</v>
      </c>
      <c r="F38" s="65">
        <f>F29*(1-Assumptions!$C$56)+Assumptions!$C$53</f>
        <v>61.019947013149704</v>
      </c>
      <c r="G38" s="65">
        <f>G29*(1-Assumptions!$C$56)+Assumptions!$C$53</f>
        <v>68.220310406599353</v>
      </c>
    </row>
    <row r="39" spans="2:8" ht="15" customHeight="1" x14ac:dyDescent="0.25">
      <c r="B39" s="58" t="s">
        <v>251</v>
      </c>
      <c r="C39" s="115">
        <f>((C38*(1-(1+C18)^-5)/C18)+(C38*((1+C19)/(1+C18))*(1-((1+C19)/(1+C18))^16)/(1-((1+C19)/(1+C18)))/(1+C18)^5)+((Model!F59*(1+C20)^21+Model!F60*(1+Assumptions!$C$67)^21)*(1-Assumptions!$C$66)/(1+C18)^21)-Model!F55)/Assumptions!$C$69</f>
        <v>7.9816759323194191</v>
      </c>
      <c r="D39" s="115">
        <f>((D38*(1-(1+D18)^-5)/D18)+(D38*((1+D19)/(1+D18))*(1-((1+D19)/(1+D18))^16)/(1-((1+D19)/(1+D18)))/(1+D18)^5)+((Model!F59*(1+D20)^21+Model!F60*(1+Assumptions!$C$67)^21)*(1-Assumptions!$C$66)/(1+D18)^21)-Model!F55)/Assumptions!$C$69</f>
        <v>8.5080788451561684</v>
      </c>
      <c r="E39" s="115">
        <f>((E38*(1-(1+E18)^-5)/E18)+(E38*((1+E19)/(1+E18))*(1-((1+E19)/(1+E18))^16)/(1-((1+E19)/(1+E18)))/(1+E18)^5)+((Model!F59*(1+E20)^21+Model!F60*(1+Assumptions!$C$67)^21)*(1-Assumptions!$C$66)/(1+E18)^21)-Model!F55)/Assumptions!$C$69</f>
        <v>11.714055134154785</v>
      </c>
      <c r="F39" s="115">
        <f>((F38*(1-(1+F18)^-5)/F18)+(F38*((1+F19)/(1+F18))*(1-((1+F19)/(1+F18))^16)/(1-((1+F19)/(1+F18)))/(1+F18)^5)+((Model!F59*(1+F20)^21+Model!F60*(1+Assumptions!$C$67)^21)*(1-Assumptions!$C$66)/(1+F18)^21)-Model!F55)/Assumptions!$C$69</f>
        <v>16.205728377888093</v>
      </c>
      <c r="G39" s="115">
        <f>((G38*(1-(1+G18)^-5)/G18)+(G38*((1+G19)/(1+G18))*(1-((1+G19)/(1+G18))^16)/(1-((1+G19)/(1+G18)))/(1+G18)^5)+((Model!F59*(1+G20)^21+Model!F60*(1+Assumptions!$C$67)^21)*(1-Assumptions!$C$66)/(1+G18)^21)-Model!F55)/Assumptions!$C$69</f>
        <v>22.243405717623236</v>
      </c>
    </row>
    <row r="40" spans="2:8" ht="15" customHeight="1" x14ac:dyDescent="0.25">
      <c r="B40" s="79" t="s">
        <v>356</v>
      </c>
      <c r="C40" s="113">
        <f>C39/8.71-1</f>
        <v>-8.3619295944957761E-2</v>
      </c>
      <c r="D40" s="113">
        <f>D39/8.71-1</f>
        <v>-2.318268138275914E-2</v>
      </c>
      <c r="E40" s="113">
        <f>E39/8.71-1</f>
        <v>0.34489725994888443</v>
      </c>
      <c r="F40" s="113">
        <f>F39/8.71-1</f>
        <v>0.86058879195041227</v>
      </c>
      <c r="G40" s="113">
        <f>G39/8.71-1</f>
        <v>1.553777923952151</v>
      </c>
    </row>
    <row r="41" spans="2:8" ht="15" customHeight="1" x14ac:dyDescent="0.25">
      <c r="B41" s="79" t="s">
        <v>357</v>
      </c>
      <c r="C41" s="127">
        <f>C18+LN(C39/8.71)/21</f>
        <v>0.1358417435775377</v>
      </c>
      <c r="D41" s="127">
        <f>D18+LN(D39/8.71)/21</f>
        <v>0.13888306540996737</v>
      </c>
      <c r="E41" s="127">
        <f>E18+LN(E39/8.71)/21</f>
        <v>0.15411036302290901</v>
      </c>
      <c r="F41" s="127">
        <f>F18+LN(F39/8.71)/21</f>
        <v>0.16956633297353602</v>
      </c>
      <c r="G41" s="127">
        <f>G18+LN(G39/8.71)/21</f>
        <v>0.18464637150377397</v>
      </c>
    </row>
    <row r="43" spans="2:8" ht="15" customHeight="1" x14ac:dyDescent="0.25">
      <c r="B43" s="24" t="s">
        <v>358</v>
      </c>
    </row>
    <row r="44" spans="2:8" ht="15" customHeight="1" x14ac:dyDescent="0.25">
      <c r="B44" s="44" t="s">
        <v>359</v>
      </c>
      <c r="C44" s="128">
        <f>C29/(C39*(Assumptions!$C$69*(1+Assumptions!$C$70)^3))</f>
        <v>7.539195207060026E-2</v>
      </c>
      <c r="D44" s="128">
        <f>D29/(D39*(Assumptions!$C$69*(1+Assumptions!$C$70)^3))</f>
        <v>8.0940585952769706E-2</v>
      </c>
      <c r="E44" s="128">
        <f>E29/(E39*(Assumptions!$C$69*(1+Assumptions!$C$70)^3))</f>
        <v>6.7331927884939219E-2</v>
      </c>
      <c r="F44" s="128">
        <f>F29/(F39*(Assumptions!$C$69*(1+Assumptions!$C$70)^3))</f>
        <v>5.5785606160506339E-2</v>
      </c>
      <c r="G44" s="128">
        <f>G29/(G39*(Assumptions!$C$69*(1+Assumptions!$C$70)^3))</f>
        <v>4.5179101224023209E-2</v>
      </c>
    </row>
    <row r="45" spans="2:8" ht="15" customHeight="1" x14ac:dyDescent="0.25">
      <c r="B45" s="58" t="s">
        <v>360</v>
      </c>
      <c r="C45" s="112">
        <f>C38/(8.71*(Assumptions!$C$69*(1+Assumptions!$C$70)^3))</f>
        <v>4.5689209079430575E-2</v>
      </c>
      <c r="D45" s="112">
        <f>D38/(8.71*(Assumptions!$C$69*(1+Assumptions!$C$70)^3))</f>
        <v>5.2872243013220119E-2</v>
      </c>
      <c r="E45" s="112">
        <f>E38/(8.71*(Assumptions!$C$69*(1+Assumptions!$C$70)^3))</f>
        <v>6.1145301624143347E-2</v>
      </c>
      <c r="F45" s="112">
        <f>F38/(8.71*(Assumptions!$C$69*(1+Assumptions!$C$70)^3))</f>
        <v>7.067777636764784E-2</v>
      </c>
      <c r="G45" s="112">
        <f>G38/(8.71*(Assumptions!$C$69*(1+Assumptions!$C$70)^3))</f>
        <v>7.9017765151616529E-2</v>
      </c>
    </row>
    <row r="46" spans="2:8" ht="15" customHeight="1" x14ac:dyDescent="0.25">
      <c r="B46" s="58" t="s">
        <v>361</v>
      </c>
      <c r="C46" s="59">
        <f>C38/(C39*(Assumptions!$C$69*(1+Assumptions!$C$70)^3))</f>
        <v>4.9858327305728888E-2</v>
      </c>
      <c r="D46" s="59">
        <f>D38/(D39*(Assumptions!$C$69*(1+Assumptions!$C$70)^3))</f>
        <v>5.4127053242734063E-2</v>
      </c>
      <c r="E46" s="59">
        <f>E38/(E39*(Assumptions!$C$69*(1+Assumptions!$C$70)^3))</f>
        <v>4.5464663692204491E-2</v>
      </c>
      <c r="F46" s="59">
        <f>F38/(F39*(Assumptions!$C$69*(1+Assumptions!$C$70)^3))</f>
        <v>3.7986779600858479E-2</v>
      </c>
      <c r="G46" s="59">
        <f>G38/(G39*(Assumptions!$C$69*(1+Assumptions!$C$70)^3))</f>
        <v>3.0941517823652807E-2</v>
      </c>
    </row>
    <row r="47" spans="2:8" ht="60" customHeight="1" x14ac:dyDescent="0.25">
      <c r="B47" s="192" t="s">
        <v>362</v>
      </c>
      <c r="C47" s="192"/>
      <c r="D47" s="192"/>
      <c r="E47" s="192"/>
      <c r="F47" s="192"/>
      <c r="G47" s="192"/>
      <c r="H47" s="192"/>
    </row>
    <row r="50" spans="2:8" ht="21.75" customHeight="1" x14ac:dyDescent="0.25">
      <c r="B50" s="2" t="s">
        <v>363</v>
      </c>
      <c r="C50" s="43"/>
      <c r="D50" s="43"/>
      <c r="E50" s="43"/>
      <c r="F50" s="43"/>
      <c r="G50" s="43"/>
      <c r="H50" s="43"/>
    </row>
    <row r="51" spans="2:8" ht="15" customHeight="1" x14ac:dyDescent="0.25">
      <c r="B51" s="58" t="s">
        <v>364</v>
      </c>
      <c r="C51" s="115">
        <f>C32*C16/(1+C17)^3</f>
        <v>8.6545648604924565</v>
      </c>
      <c r="D51" s="115">
        <f>D32*D16/(1+D17)^3</f>
        <v>10.251527374941649</v>
      </c>
      <c r="E51" s="115">
        <f>E32*E16/(1+E17)^3</f>
        <v>13.300446771587049</v>
      </c>
      <c r="F51" s="115">
        <f>F32*F16/(1+F17)^3</f>
        <v>16.671666146475545</v>
      </c>
      <c r="G51" s="115">
        <f>G32*G16/(1+G17)^3</f>
        <v>20.198902009211427</v>
      </c>
    </row>
    <row r="52" spans="2:8" ht="15" customHeight="1" x14ac:dyDescent="0.25">
      <c r="B52" s="79" t="s">
        <v>365</v>
      </c>
      <c r="C52" s="129">
        <f>C51*(1+C17)^3</f>
        <v>12.822118641673439</v>
      </c>
      <c r="D52" s="129">
        <f>D51*(1+D17)^3</f>
        <v>15.188088873180554</v>
      </c>
      <c r="E52" s="129">
        <f>E51*(1+E17)^3</f>
        <v>19.705197111764168</v>
      </c>
      <c r="F52" s="129">
        <f>F51*(1+F17)^3</f>
        <v>24.69980694931397</v>
      </c>
      <c r="G52" s="129">
        <f>G51*(1+G17)^3</f>
        <v>29.925562078335144</v>
      </c>
    </row>
    <row r="53" spans="2:8" ht="15" customHeight="1" x14ac:dyDescent="0.25">
      <c r="B53" s="58" t="s">
        <v>257</v>
      </c>
      <c r="C53" s="59">
        <f>C51/8.71-1</f>
        <v>-6.3645395531050086E-3</v>
      </c>
      <c r="D53" s="59">
        <f>D51/8.71-1</f>
        <v>0.17698362513681376</v>
      </c>
      <c r="E53" s="59">
        <f>E51/8.71-1</f>
        <v>0.5270317763016128</v>
      </c>
      <c r="F53" s="59">
        <f>F51/8.71-1</f>
        <v>0.91408336928536649</v>
      </c>
      <c r="G53" s="59">
        <f>G51/8.71-1</f>
        <v>1.3190473030093486</v>
      </c>
    </row>
    <row r="54" spans="2:8" ht="15" customHeight="1" x14ac:dyDescent="0.25">
      <c r="B54" s="58" t="s">
        <v>366</v>
      </c>
      <c r="C54" s="59">
        <f>(C52/8.71)^(1/3)-1</f>
        <v>0.13757632581750712</v>
      </c>
      <c r="D54" s="59">
        <f>(D52/8.71)^(1/3)-1</f>
        <v>0.20363550901310634</v>
      </c>
      <c r="E54" s="59">
        <f>(E52/8.71)^(1/3)-1</f>
        <v>0.31276667301958661</v>
      </c>
      <c r="F54" s="59">
        <f>(F52/8.71)^(1/3)-1</f>
        <v>0.41544109765239368</v>
      </c>
      <c r="G54" s="59">
        <f>(G52/8.71)^(1/3)-1</f>
        <v>0.50894955192906499</v>
      </c>
    </row>
    <row r="57" spans="2:8" ht="21.75" customHeight="1" x14ac:dyDescent="0.25">
      <c r="B57" s="2" t="s">
        <v>367</v>
      </c>
      <c r="C57" s="43"/>
      <c r="D57" s="43"/>
      <c r="E57" s="43"/>
      <c r="F57" s="43"/>
      <c r="G57" s="43"/>
      <c r="H57" s="43"/>
    </row>
    <row r="59" spans="2:8" ht="15" customHeight="1" x14ac:dyDescent="0.25">
      <c r="B59" s="58" t="s">
        <v>368</v>
      </c>
      <c r="H59" s="115">
        <f>SUMPRODUCT($C$6:$G$6,$C$51:$G$51)</f>
        <v>14.079732007209767</v>
      </c>
    </row>
    <row r="60" spans="2:8" ht="15" customHeight="1" x14ac:dyDescent="0.25">
      <c r="B60" s="58" t="s">
        <v>369</v>
      </c>
      <c r="H60" s="59">
        <f>H59/8.71-1</f>
        <v>0.61650195260732099</v>
      </c>
    </row>
    <row r="61" spans="2:8" ht="15" customHeight="1" x14ac:dyDescent="0.25">
      <c r="B61" s="58" t="s">
        <v>370</v>
      </c>
      <c r="H61" s="59">
        <f>SUMPRODUCT($C$6:$G$6,$C$54:$G$54)</f>
        <v>0.32929857897919657</v>
      </c>
    </row>
  </sheetData>
  <mergeCells count="2">
    <mergeCell ref="B3:I3"/>
    <mergeCell ref="B47:H47"/>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7109375" defaultRowHeight="15" x14ac:dyDescent="0.25"/>
  <cols>
    <col min="1" max="1" width="2" customWidth="1"/>
    <col min="2" max="2" width="38" customWidth="1"/>
    <col min="3" max="10" width="14" customWidth="1"/>
  </cols>
  <sheetData>
    <row r="1" spans="1:5" ht="15" customHeight="1" x14ac:dyDescent="0.25">
      <c r="A1" s="25" t="s">
        <v>1</v>
      </c>
    </row>
    <row r="2" spans="1:5" ht="17.25" customHeight="1" x14ac:dyDescent="0.25">
      <c r="A2" s="26" t="s">
        <v>40</v>
      </c>
      <c r="B2" s="27" t="s">
        <v>238</v>
      </c>
      <c r="C2" s="28" t="s">
        <v>42</v>
      </c>
      <c r="D2" s="29" t="s">
        <v>43</v>
      </c>
      <c r="E2" s="30" t="s">
        <v>44</v>
      </c>
    </row>
    <row r="4" spans="1:5" ht="15" customHeight="1" x14ac:dyDescent="0.25">
      <c r="B4" s="4" t="s">
        <v>118</v>
      </c>
      <c r="C4" s="52" t="str">
        <f>Assumptions!$D$6</f>
        <v>Base</v>
      </c>
    </row>
    <row r="6" spans="1:5" ht="15" customHeight="1" x14ac:dyDescent="0.25">
      <c r="B6" s="72" t="s">
        <v>239</v>
      </c>
    </row>
    <row r="8" spans="1:5" ht="15" customHeight="1" x14ac:dyDescent="0.25">
      <c r="B8" s="6" t="s">
        <v>240</v>
      </c>
      <c r="C8" s="49">
        <v>8.7100000000000009</v>
      </c>
    </row>
    <row r="9" spans="1:5" ht="15" customHeight="1" x14ac:dyDescent="0.25">
      <c r="B9" s="6" t="s">
        <v>241</v>
      </c>
      <c r="C9" s="67">
        <f>Model!I63</f>
        <v>35.833415091673523</v>
      </c>
    </row>
    <row r="10" spans="1:5" ht="15" customHeight="1" x14ac:dyDescent="0.25">
      <c r="B10" s="6" t="s">
        <v>242</v>
      </c>
      <c r="C10" s="95">
        <f>Assumptions!$C$15</f>
        <v>0.55000000000000004</v>
      </c>
    </row>
    <row r="11" spans="1:5" ht="15" customHeight="1" x14ac:dyDescent="0.25">
      <c r="B11" s="6" t="s">
        <v>243</v>
      </c>
      <c r="C11" s="96">
        <f>C9*C10</f>
        <v>19.708378300420438</v>
      </c>
    </row>
    <row r="12" spans="1:5" ht="15" customHeight="1" x14ac:dyDescent="0.25">
      <c r="B12" s="6" t="s">
        <v>244</v>
      </c>
      <c r="C12" s="95">
        <f>Assumptions!$C$16</f>
        <v>0.14000000000000001</v>
      </c>
    </row>
    <row r="13" spans="1:5" ht="15" customHeight="1" x14ac:dyDescent="0.25">
      <c r="B13" s="6" t="s">
        <v>245</v>
      </c>
      <c r="C13" s="97">
        <v>3</v>
      </c>
    </row>
    <row r="14" spans="1:5" ht="15" customHeight="1" x14ac:dyDescent="0.25">
      <c r="B14" s="6" t="s">
        <v>246</v>
      </c>
      <c r="C14" s="96">
        <f>1/(1+C12)^C13</f>
        <v>0.67497151620201612</v>
      </c>
    </row>
    <row r="15" spans="1:5" ht="15" customHeight="1" x14ac:dyDescent="0.25">
      <c r="B15" s="6" t="s">
        <v>247</v>
      </c>
      <c r="C15" s="98">
        <f>C11*C14</f>
        <v>13.302593983317697</v>
      </c>
    </row>
    <row r="16" spans="1:5" ht="15" customHeight="1" x14ac:dyDescent="0.25">
      <c r="B16" s="6" t="s">
        <v>248</v>
      </c>
      <c r="C16" s="36">
        <f>C15/C8-1</f>
        <v>0.5272782988883693</v>
      </c>
    </row>
    <row r="17" spans="2:8" ht="15" customHeight="1" x14ac:dyDescent="0.25">
      <c r="B17" s="6" t="s">
        <v>249</v>
      </c>
      <c r="C17" s="99">
        <f>(C11/C8)^(1/C13)-1</f>
        <v>0.31283731316108998</v>
      </c>
    </row>
    <row r="20" spans="2:8" ht="15" customHeight="1" x14ac:dyDescent="0.25">
      <c r="B20" s="72" t="s">
        <v>250</v>
      </c>
    </row>
    <row r="22" spans="2:8" ht="15" customHeight="1" x14ac:dyDescent="0.25">
      <c r="B22" s="6" t="s">
        <v>251</v>
      </c>
      <c r="C22" s="100">
        <f>'NAV Analysis'!C61</f>
        <v>11.694403955574947</v>
      </c>
      <c r="D22" s="196" t="s">
        <v>252</v>
      </c>
      <c r="E22" s="196"/>
      <c r="F22" s="196"/>
      <c r="G22" s="196"/>
      <c r="H22" s="196"/>
    </row>
    <row r="23" spans="2:8" ht="15" customHeight="1" x14ac:dyDescent="0.25">
      <c r="B23" s="6" t="s">
        <v>253</v>
      </c>
      <c r="C23" s="98">
        <f>C15</f>
        <v>13.302593983317697</v>
      </c>
      <c r="D23" s="196" t="s">
        <v>254</v>
      </c>
      <c r="E23" s="196"/>
      <c r="F23" s="196"/>
      <c r="G23" s="196"/>
      <c r="H23" s="196"/>
    </row>
    <row r="24" spans="2:8" ht="15" customHeight="1" x14ac:dyDescent="0.25">
      <c r="B24" s="24" t="s">
        <v>255</v>
      </c>
      <c r="C24" s="101">
        <f>AVERAGE(C22,C23)</f>
        <v>12.498498969446322</v>
      </c>
      <c r="D24" s="196" t="s">
        <v>256</v>
      </c>
      <c r="E24" s="196"/>
      <c r="F24" s="196"/>
      <c r="G24" s="196"/>
      <c r="H24" s="196"/>
    </row>
    <row r="25" spans="2:8" ht="15" customHeight="1" x14ac:dyDescent="0.25">
      <c r="B25" s="11" t="s">
        <v>257</v>
      </c>
      <c r="C25" s="102">
        <f>C24/8.71-1</f>
        <v>0.43495969798465217</v>
      </c>
    </row>
    <row r="26" spans="2:8" ht="15" customHeight="1" x14ac:dyDescent="0.25">
      <c r="B26" s="11" t="s">
        <v>258</v>
      </c>
      <c r="C26" s="99">
        <f>(C24*(1+C12)^3/8.71)^(1/3)-1</f>
        <v>0.28583354817341955</v>
      </c>
    </row>
    <row r="28" spans="2:8" ht="15" customHeight="1" x14ac:dyDescent="0.25">
      <c r="B28" s="24" t="s">
        <v>259</v>
      </c>
    </row>
    <row r="29" spans="2:8" ht="69.75" customHeight="1" x14ac:dyDescent="0.25">
      <c r="B29" s="192" t="s">
        <v>260</v>
      </c>
      <c r="C29" s="192"/>
      <c r="D29" s="192"/>
      <c r="E29" s="192"/>
      <c r="F29" s="192"/>
      <c r="G29" s="192"/>
      <c r="H29" s="192"/>
    </row>
  </sheetData>
  <mergeCells count="4">
    <mergeCell ref="D22:H22"/>
    <mergeCell ref="D23:H23"/>
    <mergeCell ref="D24:H24"/>
    <mergeCell ref="B29:H29"/>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81"/>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7109375" defaultRowHeight="15" x14ac:dyDescent="0.25"/>
  <cols>
    <col min="1" max="1" width="2" customWidth="1"/>
    <col min="2" max="2" width="36" customWidth="1"/>
    <col min="3" max="23" width="9" customWidth="1"/>
  </cols>
  <sheetData>
    <row r="1" spans="1:23" ht="15" customHeight="1" x14ac:dyDescent="0.25">
      <c r="A1" s="25" t="s">
        <v>1</v>
      </c>
    </row>
    <row r="2" spans="1:23" ht="17.25" customHeight="1" x14ac:dyDescent="0.25">
      <c r="A2" s="26" t="s">
        <v>40</v>
      </c>
      <c r="B2" s="27" t="s">
        <v>261</v>
      </c>
      <c r="C2" s="28" t="s">
        <v>42</v>
      </c>
      <c r="D2" s="29" t="s">
        <v>43</v>
      </c>
      <c r="E2" s="30" t="s">
        <v>44</v>
      </c>
    </row>
    <row r="3" spans="1:23" ht="36" customHeight="1" x14ac:dyDescent="0.25">
      <c r="B3" s="197" t="s">
        <v>262</v>
      </c>
      <c r="C3" s="197"/>
      <c r="D3" s="197"/>
      <c r="E3" s="197"/>
      <c r="F3" s="197"/>
      <c r="G3" s="197"/>
      <c r="H3" s="197"/>
      <c r="I3" s="197"/>
      <c r="J3" s="197"/>
      <c r="K3" s="197"/>
      <c r="L3" s="197"/>
      <c r="M3" s="197"/>
      <c r="N3" s="197"/>
      <c r="O3" s="197"/>
      <c r="P3" s="197"/>
      <c r="Q3" s="197"/>
      <c r="R3" s="197"/>
      <c r="S3" s="197"/>
      <c r="T3" s="197"/>
      <c r="U3" s="197"/>
      <c r="V3" s="197"/>
      <c r="W3" s="197"/>
    </row>
    <row r="5" spans="1:23" ht="21.75" customHeight="1" x14ac:dyDescent="0.25">
      <c r="B5" s="2" t="s">
        <v>263</v>
      </c>
      <c r="C5" s="43"/>
      <c r="D5" s="43"/>
      <c r="E5" s="43"/>
      <c r="F5" s="43"/>
      <c r="G5" s="43"/>
      <c r="H5" s="43"/>
    </row>
    <row r="7" spans="1:23" ht="15" customHeight="1" x14ac:dyDescent="0.25">
      <c r="B7" s="44" t="s">
        <v>264</v>
      </c>
      <c r="C7" s="103">
        <f>Model!F61</f>
        <v>2796</v>
      </c>
    </row>
    <row r="8" spans="1:23" ht="15" customHeight="1" x14ac:dyDescent="0.25">
      <c r="B8" s="44" t="s">
        <v>265</v>
      </c>
      <c r="C8" s="103">
        <f>Model!F55</f>
        <v>57.199999999999996</v>
      </c>
    </row>
    <row r="9" spans="1:23" ht="15" customHeight="1" x14ac:dyDescent="0.25">
      <c r="B9" s="58" t="s">
        <v>266</v>
      </c>
      <c r="C9" s="68">
        <f>C7-C8</f>
        <v>2738.8</v>
      </c>
    </row>
    <row r="10" spans="1:23" ht="15" customHeight="1" x14ac:dyDescent="0.25">
      <c r="B10" s="58" t="s">
        <v>267</v>
      </c>
      <c r="C10" s="101">
        <f>C9/Assumptions!$C$69</f>
        <v>28.467783009552324</v>
      </c>
    </row>
    <row r="11" spans="1:23" ht="15" customHeight="1" x14ac:dyDescent="0.25">
      <c r="B11" s="196" t="s">
        <v>268</v>
      </c>
      <c r="C11" s="196"/>
      <c r="D11" s="196"/>
      <c r="E11" s="196"/>
      <c r="F11" s="196"/>
      <c r="G11" s="196"/>
      <c r="H11" s="196"/>
    </row>
    <row r="14" spans="1:23" ht="21.75" customHeight="1" x14ac:dyDescent="0.25">
      <c r="B14" s="2" t="s">
        <v>269</v>
      </c>
      <c r="C14" s="43"/>
      <c r="D14" s="43"/>
      <c r="E14" s="43"/>
      <c r="F14" s="43"/>
      <c r="G14" s="43"/>
      <c r="H14" s="43"/>
    </row>
    <row r="16" spans="1:23" ht="15" customHeight="1" x14ac:dyDescent="0.25">
      <c r="B16" s="44" t="s">
        <v>270</v>
      </c>
      <c r="C16" s="69">
        <v>39.098999999999997</v>
      </c>
    </row>
    <row r="17" spans="2:23" ht="15" customHeight="1" x14ac:dyDescent="0.25">
      <c r="B17" s="44" t="s">
        <v>271</v>
      </c>
      <c r="C17" s="103">
        <f>Assumptions!$C$64</f>
        <v>65000</v>
      </c>
    </row>
    <row r="18" spans="2:23" ht="15" customHeight="1" x14ac:dyDescent="0.25">
      <c r="B18" s="44" t="s">
        <v>272</v>
      </c>
      <c r="C18" s="104">
        <f>C16*C17/1000</f>
        <v>2541.4349999999999</v>
      </c>
    </row>
    <row r="19" spans="2:23" ht="15" customHeight="1" x14ac:dyDescent="0.25">
      <c r="B19" s="44" t="s">
        <v>273</v>
      </c>
      <c r="C19" s="69">
        <v>41.100999999999999</v>
      </c>
    </row>
    <row r="20" spans="2:23" ht="15" customHeight="1" x14ac:dyDescent="0.25">
      <c r="B20" s="44" t="s">
        <v>274</v>
      </c>
      <c r="C20" s="103">
        <f>Assumptions!$C$65</f>
        <v>11500</v>
      </c>
    </row>
    <row r="21" spans="2:23" ht="15" customHeight="1" x14ac:dyDescent="0.25">
      <c r="B21" s="44" t="s">
        <v>275</v>
      </c>
      <c r="C21" s="104">
        <f>C19*C20/1000</f>
        <v>472.66149999999999</v>
      </c>
    </row>
    <row r="23" spans="2:23" ht="15" customHeight="1" x14ac:dyDescent="0.25">
      <c r="B23" s="58" t="s">
        <v>276</v>
      </c>
      <c r="C23" s="68">
        <f>C18+C21</f>
        <v>3014.0965000000001</v>
      </c>
    </row>
    <row r="24" spans="2:23" ht="15" customHeight="1" x14ac:dyDescent="0.25">
      <c r="B24" s="44" t="s">
        <v>277</v>
      </c>
      <c r="C24" s="102">
        <f>C23/C7-1</f>
        <v>7.8003040057224693E-2</v>
      </c>
    </row>
    <row r="25" spans="2:23" ht="15" customHeight="1" x14ac:dyDescent="0.25">
      <c r="B25" s="44" t="s">
        <v>278</v>
      </c>
      <c r="C25" s="104">
        <f>-C23*Assumptions!$C$66</f>
        <v>-375.25501424999999</v>
      </c>
    </row>
    <row r="26" spans="2:23" ht="15" customHeight="1" x14ac:dyDescent="0.25">
      <c r="B26" s="44" t="s">
        <v>279</v>
      </c>
      <c r="C26" s="104">
        <f>-C8</f>
        <v>-57.199999999999996</v>
      </c>
    </row>
    <row r="27" spans="2:23" ht="15" customHeight="1" x14ac:dyDescent="0.25">
      <c r="B27" s="58" t="s">
        <v>280</v>
      </c>
      <c r="C27" s="68">
        <f>C23+C25-C8</f>
        <v>2581.6414857500004</v>
      </c>
    </row>
    <row r="28" spans="2:23" ht="15" customHeight="1" x14ac:dyDescent="0.25">
      <c r="B28" s="58" t="s">
        <v>281</v>
      </c>
      <c r="C28" s="101">
        <f>C27/Assumptions!$C$69</f>
        <v>26.834237485318123</v>
      </c>
    </row>
    <row r="29" spans="2:23" ht="15" customHeight="1" x14ac:dyDescent="0.25">
      <c r="B29" s="196" t="s">
        <v>282</v>
      </c>
      <c r="C29" s="196"/>
      <c r="D29" s="196"/>
      <c r="E29" s="196"/>
      <c r="F29" s="196"/>
      <c r="G29" s="196"/>
      <c r="H29" s="196"/>
    </row>
    <row r="32" spans="2:23" ht="21.75" customHeight="1" x14ac:dyDescent="0.25">
      <c r="B32" s="2" t="s">
        <v>283</v>
      </c>
      <c r="C32" s="43"/>
      <c r="D32" s="43"/>
      <c r="E32" s="43"/>
      <c r="F32" s="43"/>
      <c r="G32" s="43"/>
      <c r="H32" s="43"/>
      <c r="I32" s="43"/>
      <c r="J32" s="43"/>
      <c r="K32" s="43"/>
      <c r="L32" s="43"/>
      <c r="M32" s="43"/>
      <c r="N32" s="43"/>
      <c r="O32" s="43"/>
      <c r="P32" s="43"/>
      <c r="Q32" s="43"/>
      <c r="R32" s="43"/>
      <c r="S32" s="43"/>
      <c r="T32" s="43"/>
      <c r="U32" s="43"/>
      <c r="V32" s="43"/>
      <c r="W32" s="43"/>
    </row>
    <row r="34" spans="2:23" ht="15" customHeight="1" x14ac:dyDescent="0.25">
      <c r="B34" s="44" t="s">
        <v>284</v>
      </c>
      <c r="C34" s="95">
        <f>Assumptions!$C$19</f>
        <v>0.14000000000000001</v>
      </c>
    </row>
    <row r="35" spans="2:23" ht="15" customHeight="1" x14ac:dyDescent="0.25">
      <c r="B35" s="44" t="s">
        <v>59</v>
      </c>
      <c r="C35" s="95">
        <f>Assumptions!$C$20</f>
        <v>0.08</v>
      </c>
    </row>
    <row r="36" spans="2:23" ht="15" customHeight="1" x14ac:dyDescent="0.25">
      <c r="B36" s="44" t="s">
        <v>285</v>
      </c>
      <c r="C36" s="105">
        <f>Assumptions!$C$68</f>
        <v>2046</v>
      </c>
    </row>
    <row r="37" spans="2:23" ht="15" customHeight="1" x14ac:dyDescent="0.25">
      <c r="B37" s="44" t="s">
        <v>286</v>
      </c>
      <c r="C37" s="95">
        <f>Assumptions!$C$21</f>
        <v>0.08</v>
      </c>
      <c r="D37" s="95">
        <f>Assumptions!$C$67</f>
        <v>0.04</v>
      </c>
    </row>
    <row r="39" spans="2:23" ht="15" customHeight="1" x14ac:dyDescent="0.25">
      <c r="B39" s="58" t="s">
        <v>287</v>
      </c>
      <c r="C39" s="106">
        <v>2026</v>
      </c>
      <c r="D39" s="106">
        <v>2027</v>
      </c>
      <c r="E39" s="106">
        <v>2028</v>
      </c>
      <c r="F39" s="106">
        <v>2029</v>
      </c>
      <c r="G39" s="106">
        <v>2030</v>
      </c>
      <c r="H39" s="106">
        <v>2031</v>
      </c>
      <c r="I39" s="106">
        <v>2032</v>
      </c>
      <c r="J39" s="106">
        <v>2033</v>
      </c>
      <c r="K39" s="106">
        <v>2034</v>
      </c>
      <c r="L39" s="106">
        <v>2035</v>
      </c>
      <c r="M39" s="106">
        <v>2036</v>
      </c>
      <c r="N39" s="106">
        <v>2037</v>
      </c>
      <c r="O39" s="106">
        <v>2038</v>
      </c>
      <c r="P39" s="106">
        <v>2039</v>
      </c>
      <c r="Q39" s="106">
        <v>2040</v>
      </c>
      <c r="R39" s="106">
        <v>2041</v>
      </c>
      <c r="S39" s="106">
        <v>2042</v>
      </c>
      <c r="T39" s="106">
        <v>2043</v>
      </c>
      <c r="U39" s="106">
        <v>2044</v>
      </c>
      <c r="V39" s="106">
        <v>2045</v>
      </c>
      <c r="W39" s="106">
        <v>2046</v>
      </c>
    </row>
    <row r="40" spans="2:23" ht="15" customHeight="1" x14ac:dyDescent="0.25">
      <c r="B40" s="79" t="s">
        <v>288</v>
      </c>
      <c r="C40" s="107">
        <v>1</v>
      </c>
      <c r="D40" s="107">
        <v>2</v>
      </c>
      <c r="E40" s="107">
        <v>3</v>
      </c>
      <c r="F40" s="107">
        <v>4</v>
      </c>
      <c r="G40" s="107">
        <v>5</v>
      </c>
      <c r="H40" s="107">
        <v>6</v>
      </c>
      <c r="I40" s="107">
        <v>7</v>
      </c>
      <c r="J40" s="107">
        <v>8</v>
      </c>
      <c r="K40" s="107">
        <v>9</v>
      </c>
      <c r="L40" s="107">
        <v>10</v>
      </c>
      <c r="M40" s="107">
        <v>11</v>
      </c>
      <c r="N40" s="107">
        <v>12</v>
      </c>
      <c r="O40" s="107">
        <v>13</v>
      </c>
      <c r="P40" s="107">
        <v>14</v>
      </c>
      <c r="Q40" s="107">
        <v>15</v>
      </c>
      <c r="R40" s="107">
        <v>16</v>
      </c>
      <c r="S40" s="107">
        <v>17</v>
      </c>
      <c r="T40" s="107">
        <v>18</v>
      </c>
      <c r="U40" s="107">
        <v>19</v>
      </c>
      <c r="V40" s="107">
        <v>20</v>
      </c>
      <c r="W40" s="107">
        <v>21</v>
      </c>
    </row>
    <row r="41" spans="2:23" ht="15" customHeight="1" x14ac:dyDescent="0.25">
      <c r="B41" s="44" t="s">
        <v>289</v>
      </c>
      <c r="C41" s="108">
        <f>Model!G42</f>
        <v>55.014121264592376</v>
      </c>
      <c r="D41" s="108">
        <f>Model!H42</f>
        <v>64.412616201840237</v>
      </c>
      <c r="E41" s="108">
        <f>Model!I42</f>
        <v>73.141831605032479</v>
      </c>
      <c r="F41" s="108">
        <f>Model!J42</f>
        <v>77.488314047412985</v>
      </c>
      <c r="G41" s="108">
        <f>Model!K42</f>
        <v>81.822953408513484</v>
      </c>
      <c r="H41" s="109">
        <f>G41*(1+Assumptions!$C$20)</f>
        <v>88.368789681194571</v>
      </c>
      <c r="I41" s="109">
        <f>H41*(1+Assumptions!$C$20)</f>
        <v>95.438292855690136</v>
      </c>
      <c r="J41" s="109">
        <f>I41*(1+Assumptions!$C$20)</f>
        <v>103.07335628414535</v>
      </c>
      <c r="K41" s="109">
        <f>J41*(1+Assumptions!$C$20)</f>
        <v>111.31922478687699</v>
      </c>
      <c r="L41" s="109">
        <f>K41*(1+Assumptions!$C$20)</f>
        <v>120.22476276982715</v>
      </c>
      <c r="M41" s="109">
        <f>L41*(1+Assumptions!$C$20)</f>
        <v>129.84274379141334</v>
      </c>
      <c r="N41" s="109">
        <f>M41*(1+Assumptions!$C$20)</f>
        <v>140.23016329472642</v>
      </c>
      <c r="O41" s="109">
        <f>N41*(1+Assumptions!$C$20)</f>
        <v>151.44857635830454</v>
      </c>
      <c r="P41" s="109">
        <f>O41*(1+Assumptions!$C$20)</f>
        <v>163.56446246696891</v>
      </c>
      <c r="Q41" s="109">
        <f>P41*(1+Assumptions!$C$20)</f>
        <v>176.64961946432643</v>
      </c>
      <c r="R41" s="109">
        <f>Q41*(1+Assumptions!$C$20)</f>
        <v>190.78158902147257</v>
      </c>
      <c r="S41" s="109">
        <f>R41*(1+Assumptions!$C$20)</f>
        <v>206.04411614319039</v>
      </c>
      <c r="T41" s="109">
        <f>S41*(1+Assumptions!$C$20)</f>
        <v>222.52764543464565</v>
      </c>
      <c r="U41" s="109">
        <f>T41*(1+Assumptions!$C$20)</f>
        <v>240.32985706941733</v>
      </c>
      <c r="V41" s="109">
        <f>U41*(1+Assumptions!$C$20)</f>
        <v>259.55624563497071</v>
      </c>
      <c r="W41" s="109">
        <f>V41*(1+Assumptions!$C$20)</f>
        <v>280.3207452857684</v>
      </c>
    </row>
    <row r="42" spans="2:23" ht="15" customHeight="1" x14ac:dyDescent="0.25">
      <c r="B42" s="44" t="s">
        <v>290</v>
      </c>
      <c r="C42" s="109">
        <f>-C41*Assumptions!$C$56</f>
        <v>-15.403953954085866</v>
      </c>
      <c r="D42" s="109">
        <f>-D41*Assumptions!$C$56</f>
        <v>-18.035532536515269</v>
      </c>
      <c r="E42" s="109">
        <f>-E41*Assumptions!$C$56</f>
        <v>-20.479712849409097</v>
      </c>
      <c r="F42" s="109">
        <f>-F41*Assumptions!$C$56</f>
        <v>-21.696727933275639</v>
      </c>
      <c r="G42" s="109">
        <f>-G41*Assumptions!$C$56</f>
        <v>-22.910426954383777</v>
      </c>
      <c r="H42" s="109">
        <f>-H41*Assumptions!$C$56</f>
        <v>-24.743261110734483</v>
      </c>
      <c r="I42" s="109">
        <f>-I41*Assumptions!$C$56</f>
        <v>-26.72272199959324</v>
      </c>
      <c r="J42" s="109">
        <f>-J41*Assumptions!$C$56</f>
        <v>-28.860539759560702</v>
      </c>
      <c r="K42" s="109">
        <f>-K41*Assumptions!$C$56</f>
        <v>-31.169382940325558</v>
      </c>
      <c r="L42" s="109">
        <f>-L41*Assumptions!$C$56</f>
        <v>-33.662933575551605</v>
      </c>
      <c r="M42" s="109">
        <f>-M41*Assumptions!$C$56</f>
        <v>-36.355968261595741</v>
      </c>
      <c r="N42" s="109">
        <f>-N41*Assumptions!$C$56</f>
        <v>-39.264445722523405</v>
      </c>
      <c r="O42" s="109">
        <f>-O41*Assumptions!$C$56</f>
        <v>-42.405601380325272</v>
      </c>
      <c r="P42" s="109">
        <f>-P41*Assumptions!$C$56</f>
        <v>-45.798049490751296</v>
      </c>
      <c r="Q42" s="109">
        <f>-Q41*Assumptions!$C$56</f>
        <v>-49.461893450011409</v>
      </c>
      <c r="R42" s="109">
        <f>-R41*Assumptions!$C$56</f>
        <v>-53.418844926012326</v>
      </c>
      <c r="S42" s="109">
        <f>-S41*Assumptions!$C$56</f>
        <v>-57.692352520093316</v>
      </c>
      <c r="T42" s="109">
        <f>-T41*Assumptions!$C$56</f>
        <v>-62.307740721700789</v>
      </c>
      <c r="U42" s="109">
        <f>-U41*Assumptions!$C$56</f>
        <v>-67.292359979436853</v>
      </c>
      <c r="V42" s="109">
        <f>-V41*Assumptions!$C$56</f>
        <v>-72.67574877779181</v>
      </c>
      <c r="W42" s="109">
        <f>-W41*Assumptions!$C$56</f>
        <v>-78.489808680015159</v>
      </c>
    </row>
    <row r="43" spans="2:23" ht="15" customHeight="1" x14ac:dyDescent="0.25">
      <c r="B43" s="44" t="s">
        <v>291</v>
      </c>
      <c r="C43" s="108">
        <f>Assumptions!$C$53</f>
        <v>-3.5</v>
      </c>
      <c r="D43" s="108">
        <f>Assumptions!$C$53</f>
        <v>-3.5</v>
      </c>
      <c r="E43" s="108">
        <f>Assumptions!$C$53</f>
        <v>-3.5</v>
      </c>
      <c r="F43" s="108">
        <f>Assumptions!$C$53</f>
        <v>-3.5</v>
      </c>
      <c r="G43" s="108">
        <f>Assumptions!$C$53</f>
        <v>-3.5</v>
      </c>
      <c r="H43" s="108">
        <f>Assumptions!$C$53</f>
        <v>-3.5</v>
      </c>
      <c r="I43" s="108">
        <f>Assumptions!$C$53</f>
        <v>-3.5</v>
      </c>
      <c r="J43" s="108">
        <f>Assumptions!$C$53</f>
        <v>-3.5</v>
      </c>
      <c r="K43" s="108">
        <f>Assumptions!$C$53</f>
        <v>-3.5</v>
      </c>
      <c r="L43" s="108">
        <f>Assumptions!$C$53</f>
        <v>-3.5</v>
      </c>
      <c r="M43" s="108">
        <f>Assumptions!$C$53</f>
        <v>-3.5</v>
      </c>
      <c r="N43" s="108">
        <f>Assumptions!$C$53</f>
        <v>-3.5</v>
      </c>
      <c r="O43" s="108">
        <f>Assumptions!$C$53</f>
        <v>-3.5</v>
      </c>
      <c r="P43" s="108">
        <f>Assumptions!$C$53</f>
        <v>-3.5</v>
      </c>
      <c r="Q43" s="108">
        <f>Assumptions!$C$53</f>
        <v>-3.5</v>
      </c>
      <c r="R43" s="108">
        <f>Assumptions!$C$53</f>
        <v>-3.5</v>
      </c>
      <c r="S43" s="108">
        <f>Assumptions!$C$53</f>
        <v>-3.5</v>
      </c>
      <c r="T43" s="108">
        <f>Assumptions!$C$53</f>
        <v>-3.5</v>
      </c>
      <c r="U43" s="108">
        <f>Assumptions!$C$53</f>
        <v>-3.5</v>
      </c>
      <c r="V43" s="108">
        <f>Assumptions!$C$53</f>
        <v>-3.5</v>
      </c>
      <c r="W43" s="108">
        <f>Assumptions!$C$53</f>
        <v>-3.5</v>
      </c>
    </row>
    <row r="44" spans="2:23" ht="15" customHeight="1" x14ac:dyDescent="0.25">
      <c r="B44" s="58" t="s">
        <v>292</v>
      </c>
      <c r="C44" s="63">
        <f t="shared" ref="C44:W44" si="0">C41+C42+C43</f>
        <v>36.110167310506512</v>
      </c>
      <c r="D44" s="63">
        <f t="shared" si="0"/>
        <v>42.877083665324967</v>
      </c>
      <c r="E44" s="63">
        <f t="shared" si="0"/>
        <v>49.162118755623382</v>
      </c>
      <c r="F44" s="63">
        <f t="shared" si="0"/>
        <v>52.291586114137345</v>
      </c>
      <c r="G44" s="63">
        <f t="shared" si="0"/>
        <v>55.412526454129704</v>
      </c>
      <c r="H44" s="63">
        <f t="shared" si="0"/>
        <v>60.125528570460091</v>
      </c>
      <c r="I44" s="63">
        <f t="shared" si="0"/>
        <v>65.215570856096889</v>
      </c>
      <c r="J44" s="63">
        <f t="shared" si="0"/>
        <v>70.712816524584639</v>
      </c>
      <c r="K44" s="63">
        <f t="shared" si="0"/>
        <v>76.649841846551425</v>
      </c>
      <c r="L44" s="63">
        <f t="shared" si="0"/>
        <v>83.061829194275546</v>
      </c>
      <c r="M44" s="63">
        <f t="shared" si="0"/>
        <v>89.986775529817606</v>
      </c>
      <c r="N44" s="63">
        <f t="shared" si="0"/>
        <v>97.465717572203019</v>
      </c>
      <c r="O44" s="63">
        <f t="shared" si="0"/>
        <v>105.54297497797927</v>
      </c>
      <c r="P44" s="63">
        <f t="shared" si="0"/>
        <v>114.26641297621761</v>
      </c>
      <c r="Q44" s="63">
        <f t="shared" si="0"/>
        <v>123.68772601431502</v>
      </c>
      <c r="R44" s="63">
        <f t="shared" si="0"/>
        <v>133.86274409546024</v>
      </c>
      <c r="S44" s="63">
        <f t="shared" si="0"/>
        <v>144.85176362309707</v>
      </c>
      <c r="T44" s="63">
        <f t="shared" si="0"/>
        <v>156.71990471294487</v>
      </c>
      <c r="U44" s="63">
        <f t="shared" si="0"/>
        <v>169.53749708998049</v>
      </c>
      <c r="V44" s="63">
        <f t="shared" si="0"/>
        <v>183.38049685717891</v>
      </c>
      <c r="W44" s="63">
        <f t="shared" si="0"/>
        <v>198.33093660575324</v>
      </c>
    </row>
    <row r="45" spans="2:23" ht="15" customHeight="1" x14ac:dyDescent="0.25">
      <c r="B45" s="64" t="s">
        <v>293</v>
      </c>
      <c r="C45" s="110">
        <f>1/(1+Assumptions!$C$19)^C40</f>
        <v>0.8771929824561403</v>
      </c>
      <c r="D45" s="110">
        <f>1/(1+Assumptions!$C$19)^D40</f>
        <v>0.76946752847029842</v>
      </c>
      <c r="E45" s="110">
        <f>1/(1+Assumptions!$C$19)^E40</f>
        <v>0.67497151620201612</v>
      </c>
      <c r="F45" s="110">
        <f>1/(1+Assumptions!$C$19)^F40</f>
        <v>0.59208027737018942</v>
      </c>
      <c r="G45" s="110">
        <f>1/(1+Assumptions!$C$19)^G40</f>
        <v>0.51936866435981521</v>
      </c>
      <c r="H45" s="110">
        <f>1/(1+Assumptions!$C$19)^H40</f>
        <v>0.45558654768404844</v>
      </c>
      <c r="I45" s="110">
        <f>1/(1+Assumptions!$C$19)^I40</f>
        <v>0.39963732252986695</v>
      </c>
      <c r="J45" s="110">
        <f>1/(1+Assumptions!$C$19)^J40</f>
        <v>0.35055905485076044</v>
      </c>
      <c r="K45" s="110">
        <f>1/(1+Assumptions!$C$19)^K40</f>
        <v>0.3075079428515442</v>
      </c>
      <c r="L45" s="110">
        <f>1/(1+Assumptions!$C$19)^L40</f>
        <v>0.26974380951889843</v>
      </c>
      <c r="M45" s="110">
        <f>1/(1+Assumptions!$C$19)^M40</f>
        <v>0.23661737677096348</v>
      </c>
      <c r="N45" s="110">
        <f>1/(1+Assumptions!$C$19)^N40</f>
        <v>0.20755910243066969</v>
      </c>
      <c r="O45" s="110">
        <f>1/(1+Assumptions!$C$19)^O40</f>
        <v>0.18206938809707865</v>
      </c>
      <c r="P45" s="110">
        <f>1/(1+Assumptions!$C$19)^P40</f>
        <v>0.15970998955884091</v>
      </c>
      <c r="Q45" s="110">
        <f>1/(1+Assumptions!$C$19)^Q40</f>
        <v>0.1400964820691587</v>
      </c>
      <c r="R45" s="110">
        <f>1/(1+Assumptions!$C$19)^R40</f>
        <v>0.12289165093785848</v>
      </c>
      <c r="S45" s="110">
        <f>1/(1+Assumptions!$C$19)^S40</f>
        <v>0.107799693805139</v>
      </c>
      <c r="T45" s="110">
        <f>1/(1+Assumptions!$C$19)^T40</f>
        <v>9.4561134916788581E-2</v>
      </c>
      <c r="U45" s="110">
        <f>1/(1+Assumptions!$C$19)^U40</f>
        <v>8.2948363962095248E-2</v>
      </c>
      <c r="V45" s="110">
        <f>1/(1+Assumptions!$C$19)^V40</f>
        <v>7.2761722773767745E-2</v>
      </c>
      <c r="W45" s="110">
        <f>1/(1+Assumptions!$C$19)^W40</f>
        <v>6.3826072608568193E-2</v>
      </c>
    </row>
    <row r="46" spans="2:23" ht="15" customHeight="1" x14ac:dyDescent="0.25">
      <c r="B46" s="44" t="s">
        <v>294</v>
      </c>
      <c r="C46" s="109">
        <f t="shared" ref="C46:W46" si="1">C44*C45</f>
        <v>31.675585360093429</v>
      </c>
      <c r="D46" s="109">
        <f t="shared" si="1"/>
        <v>32.992523595971804</v>
      </c>
      <c r="E46" s="109">
        <f t="shared" si="1"/>
        <v>33.183029836186691</v>
      </c>
      <c r="F46" s="109">
        <f t="shared" si="1"/>
        <v>30.960816810585584</v>
      </c>
      <c r="G46" s="109">
        <f t="shared" si="1"/>
        <v>28.77952985328427</v>
      </c>
      <c r="H46" s="109">
        <f t="shared" si="1"/>
        <v>27.392381989094535</v>
      </c>
      <c r="I46" s="109">
        <f t="shared" si="1"/>
        <v>26.062576124187384</v>
      </c>
      <c r="J46" s="109">
        <f t="shared" si="1"/>
        <v>24.789018126693627</v>
      </c>
      <c r="K46" s="109">
        <f t="shared" si="1"/>
        <v>23.570435186129238</v>
      </c>
      <c r="L46" s="109">
        <f t="shared" si="1"/>
        <v>22.405414232471941</v>
      </c>
      <c r="M46" s="109">
        <f t="shared" si="1"/>
        <v>21.292434769942968</v>
      </c>
      <c r="N46" s="109">
        <f t="shared" si="1"/>
        <v>20.22989685704761</v>
      </c>
      <c r="O46" s="109">
        <f t="shared" si="1"/>
        <v>19.216144872185968</v>
      </c>
      <c r="P46" s="109">
        <f t="shared" si="1"/>
        <v>18.249487623357918</v>
      </c>
      <c r="Q46" s="109">
        <f t="shared" si="1"/>
        <v>17.328215289739497</v>
      </c>
      <c r="R46" s="109">
        <f t="shared" si="1"/>
        <v>16.450613620963175</v>
      </c>
      <c r="S46" s="109">
        <f t="shared" si="1"/>
        <v>15.614975765704235</v>
      </c>
      <c r="T46" s="109">
        <f t="shared" si="1"/>
        <v>14.819612053707029</v>
      </c>
      <c r="U46" s="109">
        <f t="shared" si="1"/>
        <v>14.062858013842366</v>
      </c>
      <c r="V46" s="109">
        <f t="shared" si="1"/>
        <v>13.34308087443784</v>
      </c>
      <c r="W46" s="109">
        <f t="shared" si="1"/>
        <v>12.658684760324142</v>
      </c>
    </row>
    <row r="48" spans="2:23" ht="15" customHeight="1" x14ac:dyDescent="0.25">
      <c r="B48" s="198" t="s">
        <v>295</v>
      </c>
      <c r="C48" s="198"/>
      <c r="D48" s="198"/>
      <c r="E48" s="198"/>
      <c r="F48" s="198"/>
      <c r="G48" s="198"/>
      <c r="H48" s="198"/>
    </row>
    <row r="49" spans="2:8" ht="15" customHeight="1" x14ac:dyDescent="0.25">
      <c r="B49" s="64" t="s">
        <v>296</v>
      </c>
      <c r="C49" s="104">
        <f>Model!F59*(1+Assumptions!$C$21)^21</f>
        <v>11809.373896228111</v>
      </c>
    </row>
    <row r="50" spans="2:8" ht="15" customHeight="1" x14ac:dyDescent="0.25">
      <c r="B50" s="64" t="s">
        <v>297</v>
      </c>
      <c r="C50" s="104">
        <f>Model!F60*(1+Assumptions!$C$67)^21</f>
        <v>1025.4456309396414</v>
      </c>
    </row>
    <row r="51" spans="2:8" ht="15" customHeight="1" x14ac:dyDescent="0.25">
      <c r="B51" s="58" t="s">
        <v>298</v>
      </c>
      <c r="C51" s="68">
        <f>C49+C50</f>
        <v>12834.819527167752</v>
      </c>
    </row>
    <row r="52" spans="2:8" ht="15" customHeight="1" x14ac:dyDescent="0.25">
      <c r="B52" s="44" t="s">
        <v>278</v>
      </c>
      <c r="C52" s="104">
        <f>-C51*Assumptions!$C$66</f>
        <v>-1597.9350311323851</v>
      </c>
    </row>
    <row r="53" spans="2:8" ht="15" customHeight="1" x14ac:dyDescent="0.25">
      <c r="B53" s="58" t="s">
        <v>299</v>
      </c>
      <c r="C53" s="68">
        <f>C51+C52</f>
        <v>11236.884496035367</v>
      </c>
    </row>
    <row r="54" spans="2:8" ht="15" customHeight="1" x14ac:dyDescent="0.25">
      <c r="B54" s="44" t="s">
        <v>300</v>
      </c>
      <c r="C54" s="88">
        <f>C53/(1+Assumptions!$C$19)^21</f>
        <v>717.20620573804763</v>
      </c>
    </row>
    <row r="56" spans="2:8" ht="15" customHeight="1" x14ac:dyDescent="0.25">
      <c r="B56" s="44" t="s">
        <v>301</v>
      </c>
      <c r="C56" s="104">
        <f>SUM(C46:W46)</f>
        <v>465.07731561595119</v>
      </c>
    </row>
    <row r="57" spans="2:8" ht="15" customHeight="1" x14ac:dyDescent="0.25">
      <c r="B57" s="44" t="s">
        <v>302</v>
      </c>
      <c r="C57" s="104">
        <f>C54</f>
        <v>717.20620573804763</v>
      </c>
    </row>
    <row r="58" spans="2:8" ht="15" customHeight="1" x14ac:dyDescent="0.25">
      <c r="B58" s="58" t="s">
        <v>303</v>
      </c>
      <c r="C58" s="68">
        <f>C56+C54</f>
        <v>1182.2835213539988</v>
      </c>
    </row>
    <row r="59" spans="2:8" ht="15" customHeight="1" x14ac:dyDescent="0.25">
      <c r="B59" s="44" t="s">
        <v>304</v>
      </c>
      <c r="C59" s="103">
        <f>-Model!F55</f>
        <v>-57.199999999999996</v>
      </c>
    </row>
    <row r="60" spans="2:8" ht="15" customHeight="1" x14ac:dyDescent="0.25">
      <c r="B60" s="58" t="s">
        <v>305</v>
      </c>
      <c r="C60" s="68">
        <f>C58-Model!F55</f>
        <v>1125.0835213539988</v>
      </c>
    </row>
    <row r="61" spans="2:8" ht="15" customHeight="1" x14ac:dyDescent="0.25">
      <c r="B61" s="58" t="s">
        <v>251</v>
      </c>
      <c r="C61" s="101">
        <f>C60/Assumptions!$C$69</f>
        <v>11.694403955574947</v>
      </c>
    </row>
    <row r="63" spans="2:8" ht="15" customHeight="1" x14ac:dyDescent="0.25">
      <c r="B63" s="198" t="s">
        <v>306</v>
      </c>
      <c r="C63" s="198"/>
      <c r="D63" s="198"/>
      <c r="E63" s="198"/>
      <c r="F63" s="198"/>
      <c r="G63" s="198"/>
      <c r="H63" s="198"/>
    </row>
    <row r="64" spans="2:8" ht="15" customHeight="1" x14ac:dyDescent="0.25">
      <c r="B64" s="44" t="s">
        <v>307</v>
      </c>
      <c r="C64" s="66">
        <v>8.7100000000000009</v>
      </c>
    </row>
    <row r="65" spans="2:24" ht="15" customHeight="1" x14ac:dyDescent="0.25">
      <c r="B65" s="44" t="s">
        <v>308</v>
      </c>
      <c r="C65" s="104">
        <f>C64*Assumptions!$C$69</f>
        <v>837.96297000000004</v>
      </c>
    </row>
    <row r="67" spans="2:24" ht="15" customHeight="1" x14ac:dyDescent="0.25">
      <c r="B67" s="79" t="s">
        <v>309</v>
      </c>
    </row>
    <row r="68" spans="2:24" ht="15" customHeight="1" x14ac:dyDescent="0.25">
      <c r="B68" s="44" t="s">
        <v>310</v>
      </c>
      <c r="C68" s="111">
        <f>-C65</f>
        <v>-837.96297000000004</v>
      </c>
      <c r="D68" s="62">
        <f t="shared" ref="D68:W68" si="2">C44</f>
        <v>36.110167310506512</v>
      </c>
      <c r="E68" s="62">
        <f t="shared" si="2"/>
        <v>42.877083665324967</v>
      </c>
      <c r="F68" s="62">
        <f t="shared" si="2"/>
        <v>49.162118755623382</v>
      </c>
      <c r="G68" s="62">
        <f t="shared" si="2"/>
        <v>52.291586114137345</v>
      </c>
      <c r="H68" s="62">
        <f t="shared" si="2"/>
        <v>55.412526454129704</v>
      </c>
      <c r="I68" s="62">
        <f t="shared" si="2"/>
        <v>60.125528570460091</v>
      </c>
      <c r="J68" s="62">
        <f t="shared" si="2"/>
        <v>65.215570856096889</v>
      </c>
      <c r="K68" s="62">
        <f t="shared" si="2"/>
        <v>70.712816524584639</v>
      </c>
      <c r="L68" s="62">
        <f t="shared" si="2"/>
        <v>76.649841846551425</v>
      </c>
      <c r="M68" s="62">
        <f t="shared" si="2"/>
        <v>83.061829194275546</v>
      </c>
      <c r="N68" s="62">
        <f t="shared" si="2"/>
        <v>89.986775529817606</v>
      </c>
      <c r="O68" s="62">
        <f t="shared" si="2"/>
        <v>97.465717572203019</v>
      </c>
      <c r="P68" s="62">
        <f t="shared" si="2"/>
        <v>105.54297497797927</v>
      </c>
      <c r="Q68" s="62">
        <f t="shared" si="2"/>
        <v>114.26641297621761</v>
      </c>
      <c r="R68" s="62">
        <f t="shared" si="2"/>
        <v>123.68772601431502</v>
      </c>
      <c r="S68" s="62">
        <f t="shared" si="2"/>
        <v>133.86274409546024</v>
      </c>
      <c r="T68" s="62">
        <f t="shared" si="2"/>
        <v>144.85176362309707</v>
      </c>
      <c r="U68" s="62">
        <f t="shared" si="2"/>
        <v>156.71990471294487</v>
      </c>
      <c r="V68" s="62">
        <f t="shared" si="2"/>
        <v>169.53749708998049</v>
      </c>
      <c r="W68" s="62">
        <f t="shared" si="2"/>
        <v>183.38049685717891</v>
      </c>
      <c r="X68" s="111">
        <f>W44+C53</f>
        <v>11435.21543264112</v>
      </c>
    </row>
    <row r="69" spans="2:24" ht="15" customHeight="1" x14ac:dyDescent="0.25">
      <c r="B69" s="58" t="s">
        <v>311</v>
      </c>
      <c r="C69" s="112">
        <f>IRR(C68:X68)</f>
        <v>0.16506341450447581</v>
      </c>
    </row>
    <row r="70" spans="2:24" ht="15" customHeight="1" x14ac:dyDescent="0.25">
      <c r="B70" s="79" t="s">
        <v>312</v>
      </c>
      <c r="C70" s="113">
        <f>C69-Assumptions!$C$19</f>
        <v>2.5063414504475801E-2</v>
      </c>
    </row>
    <row r="71" spans="2:24" ht="49.5" customHeight="1" x14ac:dyDescent="0.25">
      <c r="B71" s="192" t="s">
        <v>313</v>
      </c>
      <c r="C71" s="192"/>
      <c r="D71" s="192"/>
      <c r="E71" s="192"/>
      <c r="F71" s="192"/>
      <c r="G71" s="192"/>
      <c r="H71" s="192"/>
      <c r="I71" s="192"/>
      <c r="J71" s="192"/>
      <c r="K71" s="192"/>
      <c r="L71" s="192"/>
      <c r="M71" s="192"/>
      <c r="N71" s="192"/>
      <c r="O71" s="192"/>
      <c r="P71" s="192"/>
      <c r="Q71" s="192"/>
      <c r="R71" s="192"/>
      <c r="S71" s="192"/>
      <c r="T71" s="192"/>
      <c r="U71" s="192"/>
      <c r="V71" s="192"/>
      <c r="W71" s="192"/>
    </row>
    <row r="74" spans="2:24" ht="21.75" customHeight="1" x14ac:dyDescent="0.25">
      <c r="B74" s="2" t="s">
        <v>314</v>
      </c>
      <c r="C74" s="43"/>
      <c r="D74" s="43"/>
      <c r="E74" s="43"/>
      <c r="F74" s="43"/>
      <c r="G74" s="43"/>
      <c r="H74" s="43"/>
    </row>
    <row r="76" spans="2:24" ht="15" customHeight="1" x14ac:dyDescent="0.25">
      <c r="B76" s="58" t="s">
        <v>315</v>
      </c>
      <c r="C76" s="114" t="s">
        <v>316</v>
      </c>
      <c r="D76" s="114" t="s">
        <v>20</v>
      </c>
      <c r="E76" s="114" t="s">
        <v>317</v>
      </c>
      <c r="F76" s="114" t="s">
        <v>318</v>
      </c>
    </row>
    <row r="77" spans="2:24" ht="15" customHeight="1" x14ac:dyDescent="0.25">
      <c r="B77" s="44" t="s">
        <v>319</v>
      </c>
      <c r="C77" s="62">
        <f>C7-C8</f>
        <v>2738.8</v>
      </c>
      <c r="D77" s="115">
        <f>C10</f>
        <v>28.467783009552324</v>
      </c>
      <c r="E77" s="116">
        <f>C10/8.71-1</f>
        <v>2.2684021824973963</v>
      </c>
      <c r="F77" s="113">
        <f>C10/C10-1</f>
        <v>0</v>
      </c>
    </row>
    <row r="78" spans="2:24" ht="15" customHeight="1" x14ac:dyDescent="0.25">
      <c r="B78" s="44" t="s">
        <v>320</v>
      </c>
      <c r="C78" s="62">
        <f>C27</f>
        <v>2581.6414857500004</v>
      </c>
      <c r="D78" s="115">
        <f>C28</f>
        <v>26.834237485318123</v>
      </c>
      <c r="E78" s="116">
        <f>C28/8.71-1</f>
        <v>2.0808539018734926</v>
      </c>
      <c r="F78" s="113">
        <f>C28/C10-1</f>
        <v>-5.7382252902731024E-2</v>
      </c>
    </row>
    <row r="79" spans="2:24" ht="15" customHeight="1" x14ac:dyDescent="0.25">
      <c r="B79" s="44" t="s">
        <v>321</v>
      </c>
      <c r="C79" s="62">
        <f>C60</f>
        <v>1125.0835213539988</v>
      </c>
      <c r="D79" s="115">
        <f>C61</f>
        <v>11.694403955574947</v>
      </c>
      <c r="E79" s="116">
        <f>C61/8.71-1</f>
        <v>0.34264109708093526</v>
      </c>
      <c r="F79" s="113">
        <f>C61/C10-1</f>
        <v>-0.58920566622097315</v>
      </c>
    </row>
    <row r="81" spans="2:23" ht="60" customHeight="1" x14ac:dyDescent="0.25">
      <c r="B81" s="197" t="s">
        <v>322</v>
      </c>
      <c r="C81" s="197"/>
      <c r="D81" s="197"/>
      <c r="E81" s="197"/>
      <c r="F81" s="197"/>
      <c r="G81" s="197"/>
      <c r="H81" s="197"/>
      <c r="I81" s="197"/>
      <c r="J81" s="197"/>
      <c r="K81" s="197"/>
      <c r="L81" s="197"/>
      <c r="M81" s="197"/>
      <c r="N81" s="197"/>
      <c r="O81" s="197"/>
      <c r="P81" s="197"/>
      <c r="Q81" s="197"/>
      <c r="R81" s="197"/>
      <c r="S81" s="197"/>
      <c r="T81" s="197"/>
      <c r="U81" s="197"/>
      <c r="V81" s="197"/>
      <c r="W81" s="197"/>
    </row>
  </sheetData>
  <mergeCells count="7">
    <mergeCell ref="B71:W71"/>
    <mergeCell ref="B81:W81"/>
    <mergeCell ref="B3:W3"/>
    <mergeCell ref="B11:H11"/>
    <mergeCell ref="B29:H29"/>
    <mergeCell ref="B48:H48"/>
    <mergeCell ref="B63:H63"/>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1"/>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7109375" defaultRowHeight="15" x14ac:dyDescent="0.25"/>
  <cols>
    <col min="1" max="1" width="2" customWidth="1"/>
    <col min="2" max="2" width="28" customWidth="1"/>
    <col min="3" max="10" width="13" customWidth="1"/>
  </cols>
  <sheetData>
    <row r="1" spans="1:8" ht="15" customHeight="1" x14ac:dyDescent="0.25">
      <c r="A1" s="25" t="s">
        <v>1</v>
      </c>
    </row>
    <row r="2" spans="1:8" ht="17.25" customHeight="1" x14ac:dyDescent="0.25">
      <c r="A2" s="26" t="s">
        <v>40</v>
      </c>
      <c r="B2" s="27" t="s">
        <v>323</v>
      </c>
      <c r="C2" s="28" t="s">
        <v>42</v>
      </c>
      <c r="D2" s="29" t="s">
        <v>43</v>
      </c>
      <c r="E2" s="30" t="s">
        <v>44</v>
      </c>
    </row>
    <row r="4" spans="1:8" ht="15" customHeight="1" x14ac:dyDescent="0.25">
      <c r="B4" s="31" t="s">
        <v>324</v>
      </c>
      <c r="C4" s="100">
        <f>Valuation!$C$24</f>
        <v>12.498498969446322</v>
      </c>
    </row>
    <row r="7" spans="1:8" ht="15" customHeight="1" x14ac:dyDescent="0.25">
      <c r="B7" s="24" t="s">
        <v>325</v>
      </c>
    </row>
    <row r="9" spans="1:8" ht="15" customHeight="1" x14ac:dyDescent="0.25">
      <c r="B9" s="4" t="s">
        <v>326</v>
      </c>
      <c r="C9" s="117">
        <v>0.3</v>
      </c>
      <c r="D9" s="117">
        <v>0.4</v>
      </c>
      <c r="E9" s="117">
        <v>0.5</v>
      </c>
      <c r="F9" s="117">
        <v>0.6</v>
      </c>
      <c r="G9" s="117">
        <v>0.7</v>
      </c>
      <c r="H9" s="117">
        <v>0.8</v>
      </c>
    </row>
    <row r="10" spans="1:8" ht="15" customHeight="1" x14ac:dyDescent="0.25">
      <c r="B10" s="118">
        <v>24</v>
      </c>
      <c r="C10" s="119">
        <v>5.1940711481340998</v>
      </c>
      <c r="D10" s="119">
        <v>6.9254281975121303</v>
      </c>
      <c r="E10" s="120">
        <v>8.6567852468901592</v>
      </c>
      <c r="F10" s="119">
        <v>10.3881422962682</v>
      </c>
      <c r="G10" s="119">
        <v>12.119499345646201</v>
      </c>
      <c r="H10" s="119">
        <v>13.8508563950243</v>
      </c>
    </row>
    <row r="11" spans="1:8" ht="15" customHeight="1" x14ac:dyDescent="0.25">
      <c r="B11" s="118">
        <v>28</v>
      </c>
      <c r="C11" s="119">
        <v>6.0597496728231102</v>
      </c>
      <c r="D11" s="119">
        <v>8.0796662304308207</v>
      </c>
      <c r="E11" s="119">
        <v>10.0995827880385</v>
      </c>
      <c r="F11" s="119">
        <v>12.119499345646201</v>
      </c>
      <c r="G11" s="119">
        <v>14.1394159032539</v>
      </c>
      <c r="H11" s="119">
        <v>16.159332460861599</v>
      </c>
    </row>
    <row r="12" spans="1:8" ht="15" customHeight="1" x14ac:dyDescent="0.25">
      <c r="B12" s="118">
        <v>32</v>
      </c>
      <c r="C12" s="119">
        <v>6.9254281975121303</v>
      </c>
      <c r="D12" s="119">
        <v>9.2339042633495101</v>
      </c>
      <c r="E12" s="119">
        <v>11.5423803291869</v>
      </c>
      <c r="F12" s="119">
        <v>13.8508563950243</v>
      </c>
      <c r="G12" s="119">
        <v>16.159332460861599</v>
      </c>
      <c r="H12" s="119">
        <v>18.467808526698999</v>
      </c>
    </row>
    <row r="13" spans="1:8" ht="15" customHeight="1" x14ac:dyDescent="0.25">
      <c r="B13" s="118">
        <v>36</v>
      </c>
      <c r="C13" s="119">
        <v>7.7911067222011496</v>
      </c>
      <c r="D13" s="119">
        <v>10.3881422962682</v>
      </c>
      <c r="E13" s="119">
        <v>12.9851778703352</v>
      </c>
      <c r="F13" s="119">
        <v>15.582213444402299</v>
      </c>
      <c r="G13" s="119">
        <v>18.179249018469299</v>
      </c>
      <c r="H13" s="119">
        <v>20.776284592536399</v>
      </c>
    </row>
    <row r="14" spans="1:8" ht="15" customHeight="1" x14ac:dyDescent="0.25">
      <c r="B14" s="118">
        <v>40</v>
      </c>
      <c r="C14" s="120">
        <v>8.6567852468901592</v>
      </c>
      <c r="D14" s="119">
        <v>11.5423803291869</v>
      </c>
      <c r="E14" s="119">
        <v>14.427975411483599</v>
      </c>
      <c r="F14" s="119">
        <v>17.313570493780301</v>
      </c>
      <c r="G14" s="119">
        <v>20.1991655760771</v>
      </c>
      <c r="H14" s="119">
        <v>23.084760658373799</v>
      </c>
    </row>
    <row r="15" spans="1:8" ht="15" customHeight="1" x14ac:dyDescent="0.25">
      <c r="B15" s="118">
        <v>44</v>
      </c>
      <c r="C15" s="119">
        <v>9.5224637715791793</v>
      </c>
      <c r="D15" s="119">
        <v>12.6966183621056</v>
      </c>
      <c r="E15" s="119">
        <v>15.870772952632</v>
      </c>
      <c r="F15" s="119">
        <v>19.044927543158401</v>
      </c>
      <c r="G15" s="119">
        <v>22.2190821336848</v>
      </c>
      <c r="H15" s="119">
        <v>25.393236724211199</v>
      </c>
    </row>
    <row r="18" spans="2:10" ht="15" customHeight="1" x14ac:dyDescent="0.25">
      <c r="B18" s="24" t="s">
        <v>327</v>
      </c>
    </row>
    <row r="19" spans="2:10" ht="30" customHeight="1" x14ac:dyDescent="0.25">
      <c r="B19" s="192" t="s">
        <v>328</v>
      </c>
      <c r="C19" s="192"/>
      <c r="D19" s="192"/>
      <c r="E19" s="192"/>
      <c r="F19" s="192"/>
      <c r="G19" s="192"/>
      <c r="H19" s="192"/>
      <c r="I19" s="192"/>
      <c r="J19" s="192"/>
    </row>
    <row r="21" spans="2:10" ht="15" customHeight="1" x14ac:dyDescent="0.25">
      <c r="B21" s="4" t="s">
        <v>329</v>
      </c>
      <c r="C21" s="121">
        <v>-0.8</v>
      </c>
      <c r="D21" s="121">
        <v>-0.7</v>
      </c>
      <c r="E21" s="121">
        <v>-0.6</v>
      </c>
      <c r="F21" s="121">
        <v>-0.5</v>
      </c>
      <c r="G21" s="121">
        <v>-0.4</v>
      </c>
      <c r="H21" s="121">
        <v>-0.3</v>
      </c>
      <c r="I21" s="121">
        <v>-0.2</v>
      </c>
    </row>
    <row r="22" spans="2:10" ht="15" customHeight="1" x14ac:dyDescent="0.25">
      <c r="B22" s="118">
        <v>24</v>
      </c>
      <c r="C22" s="122">
        <f>Model!$I$42/(B22*(1+C21)*(Assumptions!$C$69*(1+Assumptions!$C$70)^3))</f>
        <v>0.15372829150778045</v>
      </c>
      <c r="D22" s="122">
        <f>Model!$I$42/(B22*(1+D21)*(Assumptions!$C$69*(1+Assumptions!$C$70)^3))</f>
        <v>0.10248552767185361</v>
      </c>
      <c r="E22" s="122">
        <f>Model!$I$42/(B22*(1+E21)*(Assumptions!$C$69*(1+Assumptions!$C$70)^3))</f>
        <v>7.6864145753890195E-2</v>
      </c>
      <c r="F22" s="122">
        <f>Model!$I$42/(B22*(1+F21)*(Assumptions!$C$69*(1+Assumptions!$C$70)^3))</f>
        <v>6.1491316603112169E-2</v>
      </c>
      <c r="G22" s="122">
        <f>Model!$I$42/(B22*(1+G21)*(Assumptions!$C$69*(1+Assumptions!$C$70)^3))</f>
        <v>5.1242763835926811E-2</v>
      </c>
      <c r="H22" s="122">
        <f>Model!$I$42/(B22*(1+H21)*(Assumptions!$C$69*(1+Assumptions!$C$70)^3))</f>
        <v>4.3922369002222982E-2</v>
      </c>
      <c r="I22" s="122">
        <f>Model!$I$42/(B22*(1+I21)*(Assumptions!$C$69*(1+Assumptions!$C$70)^3))</f>
        <v>3.8432072876945098E-2</v>
      </c>
    </row>
    <row r="23" spans="2:10" ht="15" customHeight="1" x14ac:dyDescent="0.25">
      <c r="B23" s="118">
        <v>28</v>
      </c>
      <c r="C23" s="122">
        <f>Model!$I$42/(B23*(1+C21)*(Assumptions!$C$69*(1+Assumptions!$C$70)^3))</f>
        <v>0.13176710700666897</v>
      </c>
      <c r="D23" s="122">
        <f>Model!$I$42/(B23*(1+D21)*(Assumptions!$C$69*(1+Assumptions!$C$70)^3))</f>
        <v>8.7844738004445921E-2</v>
      </c>
      <c r="E23" s="122">
        <f>Model!$I$42/(B23*(1+E21)*(Assumptions!$C$69*(1+Assumptions!$C$70)^3))</f>
        <v>6.5883553503334455E-2</v>
      </c>
      <c r="F23" s="122">
        <f>Model!$I$42/(B23*(1+F21)*(Assumptions!$C$69*(1+Assumptions!$C$70)^3))</f>
        <v>5.2706842802667575E-2</v>
      </c>
      <c r="G23" s="122">
        <f>Model!$I$42/(B23*(1+G21)*(Assumptions!$C$69*(1+Assumptions!$C$70)^3))</f>
        <v>4.3922369002222975E-2</v>
      </c>
      <c r="H23" s="122">
        <f>Model!$I$42/(B23*(1+H21)*(Assumptions!$C$69*(1+Assumptions!$C$70)^3))</f>
        <v>3.7647744859048274E-2</v>
      </c>
      <c r="I23" s="122">
        <f>Model!$I$42/(B23*(1+I21)*(Assumptions!$C$69*(1+Assumptions!$C$70)^3))</f>
        <v>3.2941776751667227E-2</v>
      </c>
    </row>
    <row r="24" spans="2:10" ht="15" customHeight="1" x14ac:dyDescent="0.25">
      <c r="B24" s="118">
        <v>32</v>
      </c>
      <c r="C24" s="122">
        <f>Model!$I$42/(B24*(1+C21)*(Assumptions!$C$69*(1+Assumptions!$C$70)^3))</f>
        <v>0.11529621863083533</v>
      </c>
      <c r="D24" s="122">
        <f>Model!$I$42/(B24*(1+D21)*(Assumptions!$C$69*(1+Assumptions!$C$70)^3))</f>
        <v>7.6864145753890195E-2</v>
      </c>
      <c r="E24" s="122">
        <f>Model!$I$42/(B24*(1+E21)*(Assumptions!$C$69*(1+Assumptions!$C$70)^3))</f>
        <v>5.7648109315417653E-2</v>
      </c>
      <c r="F24" s="122">
        <f>Model!$I$42/(B24*(1+F21)*(Assumptions!$C$69*(1+Assumptions!$C$70)^3))</f>
        <v>4.6118487452334128E-2</v>
      </c>
      <c r="G24" s="122">
        <f>Model!$I$42/(B24*(1+G21)*(Assumptions!$C$69*(1+Assumptions!$C$70)^3))</f>
        <v>3.8432072876945104E-2</v>
      </c>
      <c r="H24" s="122">
        <f>Model!$I$42/(B24*(1+H21)*(Assumptions!$C$69*(1+Assumptions!$C$70)^3))</f>
        <v>3.2941776751667234E-2</v>
      </c>
      <c r="I24" s="122">
        <f>Model!$I$42/(B24*(1+I21)*(Assumptions!$C$69*(1+Assumptions!$C$70)^3))</f>
        <v>2.8824054657708827E-2</v>
      </c>
    </row>
    <row r="25" spans="2:10" ht="15" customHeight="1" x14ac:dyDescent="0.25">
      <c r="B25" s="118">
        <v>36</v>
      </c>
      <c r="C25" s="122">
        <f>Model!$I$42/(B25*(1+C21)*(Assumptions!$C$69*(1+Assumptions!$C$70)^3))</f>
        <v>0.10248552767185364</v>
      </c>
      <c r="D25" s="122">
        <f>Model!$I$42/(B25*(1+D21)*(Assumptions!$C$69*(1+Assumptions!$C$70)^3))</f>
        <v>6.8323685114569058E-2</v>
      </c>
      <c r="E25" s="122">
        <f>Model!$I$42/(B25*(1+E21)*(Assumptions!$C$69*(1+Assumptions!$C$70)^3))</f>
        <v>5.1242763835926804E-2</v>
      </c>
      <c r="F25" s="122">
        <f>Model!$I$42/(B25*(1+F21)*(Assumptions!$C$69*(1+Assumptions!$C$70)^3))</f>
        <v>4.0994211068741439E-2</v>
      </c>
      <c r="G25" s="122">
        <f>Model!$I$42/(B25*(1+G21)*(Assumptions!$C$69*(1+Assumptions!$C$70)^3))</f>
        <v>3.4161842557284543E-2</v>
      </c>
      <c r="H25" s="122">
        <f>Model!$I$42/(B25*(1+H21)*(Assumptions!$C$69*(1+Assumptions!$C$70)^3))</f>
        <v>2.9281579334815316E-2</v>
      </c>
      <c r="I25" s="122">
        <f>Model!$I$42/(B25*(1+I21)*(Assumptions!$C$69*(1+Assumptions!$C$70)^3))</f>
        <v>2.5621381917963402E-2</v>
      </c>
    </row>
    <row r="26" spans="2:10" ht="15" customHeight="1" x14ac:dyDescent="0.25">
      <c r="B26" s="118">
        <v>40</v>
      </c>
      <c r="C26" s="122">
        <f>Model!$I$42/(B26*(1+C21)*(Assumptions!$C$69*(1+Assumptions!$C$70)^3))</f>
        <v>9.223697490466827E-2</v>
      </c>
      <c r="D26" s="122">
        <f>Model!$I$42/(B26*(1+D21)*(Assumptions!$C$69*(1+Assumptions!$C$70)^3))</f>
        <v>6.1491316603112155E-2</v>
      </c>
      <c r="E26" s="122">
        <f>Model!$I$42/(B26*(1+E21)*(Assumptions!$C$69*(1+Assumptions!$C$70)^3))</f>
        <v>4.6118487452334128E-2</v>
      </c>
      <c r="F26" s="122">
        <f>Model!$I$42/(B26*(1+F21)*(Assumptions!$C$69*(1+Assumptions!$C$70)^3))</f>
        <v>3.6894789961867298E-2</v>
      </c>
      <c r="G26" s="122">
        <f>Model!$I$42/(B26*(1+G21)*(Assumptions!$C$69*(1+Assumptions!$C$70)^3))</f>
        <v>3.0745658301556084E-2</v>
      </c>
      <c r="H26" s="122">
        <f>Model!$I$42/(B26*(1+H21)*(Assumptions!$C$69*(1+Assumptions!$C$70)^3))</f>
        <v>2.6353421401333788E-2</v>
      </c>
      <c r="I26" s="122">
        <f>Model!$I$42/(B26*(1+I21)*(Assumptions!$C$69*(1+Assumptions!$C$70)^3))</f>
        <v>2.3059243726167064E-2</v>
      </c>
    </row>
    <row r="27" spans="2:10" ht="15" customHeight="1" x14ac:dyDescent="0.25">
      <c r="B27" s="118">
        <v>44</v>
      </c>
      <c r="C27" s="122">
        <f>Model!$I$42/(B27*(1+C21)*(Assumptions!$C$69*(1+Assumptions!$C$70)^3))</f>
        <v>8.3851795367880261E-2</v>
      </c>
      <c r="D27" s="122">
        <f>Model!$I$42/(B27*(1+D21)*(Assumptions!$C$69*(1+Assumptions!$C$70)^3))</f>
        <v>5.5901196911920137E-2</v>
      </c>
      <c r="E27" s="122">
        <f>Model!$I$42/(B27*(1+E21)*(Assumptions!$C$69*(1+Assumptions!$C$70)^3))</f>
        <v>4.192589768394011E-2</v>
      </c>
      <c r="F27" s="122">
        <f>Model!$I$42/(B27*(1+F21)*(Assumptions!$C$69*(1+Assumptions!$C$70)^3))</f>
        <v>3.3540718147152093E-2</v>
      </c>
      <c r="G27" s="122">
        <f>Model!$I$42/(B27*(1+G21)*(Assumptions!$C$69*(1+Assumptions!$C$70)^3))</f>
        <v>2.7950598455960079E-2</v>
      </c>
      <c r="H27" s="122">
        <f>Model!$I$42/(B27*(1+H21)*(Assumptions!$C$69*(1+Assumptions!$C$70)^3))</f>
        <v>2.3957655819394352E-2</v>
      </c>
      <c r="I27" s="122">
        <f>Model!$I$42/(B27*(1+I21)*(Assumptions!$C$69*(1+Assumptions!$C$70)^3))</f>
        <v>2.0962948841970055E-2</v>
      </c>
    </row>
    <row r="30" spans="2:10" ht="15" customHeight="1" x14ac:dyDescent="0.25">
      <c r="B30" s="24" t="s">
        <v>330</v>
      </c>
    </row>
    <row r="31" spans="2:10" ht="30" customHeight="1" x14ac:dyDescent="0.25">
      <c r="B31" s="192" t="s">
        <v>331</v>
      </c>
      <c r="C31" s="192"/>
      <c r="D31" s="192"/>
      <c r="E31" s="192"/>
      <c r="F31" s="192"/>
      <c r="G31" s="192"/>
      <c r="H31" s="192"/>
      <c r="I31" s="192"/>
      <c r="J31" s="192"/>
    </row>
    <row r="33" spans="2:8" ht="15" customHeight="1" x14ac:dyDescent="0.25">
      <c r="B33" s="4" t="s">
        <v>332</v>
      </c>
      <c r="C33" s="117">
        <v>0.01</v>
      </c>
      <c r="D33" s="117">
        <v>0.02</v>
      </c>
      <c r="E33" s="117">
        <v>0.03</v>
      </c>
      <c r="F33" s="117">
        <v>0.04</v>
      </c>
      <c r="G33" s="117">
        <v>0.05</v>
      </c>
      <c r="H33" s="117">
        <v>0.06</v>
      </c>
    </row>
    <row r="34" spans="2:8" ht="15" customHeight="1" x14ac:dyDescent="0.25">
      <c r="B34" s="117">
        <v>7.0000000000000007E-2</v>
      </c>
      <c r="C34" s="119">
        <f>(('NAV Analysis'!C44/(1+$B$34)^1+'NAV Analysis'!D44/(1+$B$34)^2+'NAV Analysis'!E44/(1+$B$34)^3+'NAV Analysis'!F44/(1+$B$34)^4+'NAV Analysis'!G44/(1+$B$34)^5)+('NAV Analysis'!G44*((1+C$33)/(1+$B$34))*(1-((1+C$33)/(1+$B$34))^16)/(1-((1+C$33)/(1+$B$34)))/(1+$B$34)^5)+((Model!F59*(1+Assumptions!$C$21)^21+Model!F60*(1+Assumptions!$C$67)^21)*(1-Assumptions!$C$66)/(1+$B$34)^21)-Model!F55)/Assumptions!$C$69</f>
        <v>33.763516401467932</v>
      </c>
      <c r="D34" s="119">
        <f>(('NAV Analysis'!C44/(1+$B$34)^1+'NAV Analysis'!D44/(1+$B$34)^2+'NAV Analysis'!E44/(1+$B$34)^3+'NAV Analysis'!F44/(1+$B$34)^4+'NAV Analysis'!G44/(1+$B$34)^5)+('NAV Analysis'!G44*((1+D$33)/(1+$B$34))*(1-((1+D$33)/(1+$B$34))^16)/(1-((1+D$33)/(1+$B$34)))/(1+$B$34)^5)+((Model!F59*(1+Assumptions!$C$21)^21+Model!F60*(1+Assumptions!$C$67)^21)*(1-Assumptions!$C$66)/(1+$B$34)^21)-Model!F55)/Assumptions!$C$69</f>
        <v>34.078305273074392</v>
      </c>
      <c r="E34" s="119">
        <f>(('NAV Analysis'!C44/(1+$B$34)^1+'NAV Analysis'!D44/(1+$B$34)^2+'NAV Analysis'!E44/(1+$B$34)^3+'NAV Analysis'!F44/(1+$B$34)^4+'NAV Analysis'!G44/(1+$B$34)^5)+('NAV Analysis'!G44*((1+E$33)/(1+$B$34))*(1-((1+E$33)/(1+$B$34))^16)/(1-((1+E$33)/(1+$B$34)))/(1+$B$34)^5)+((Model!F59*(1+Assumptions!$C$21)^21+Model!F60*(1+Assumptions!$C$67)^21)*(1-Assumptions!$C$66)/(1+$B$34)^21)-Model!F55)/Assumptions!$C$69</f>
        <v>34.422966998747142</v>
      </c>
      <c r="F34" s="119">
        <f>(('NAV Analysis'!C44/(1+$B$34)^1+'NAV Analysis'!D44/(1+$B$34)^2+'NAV Analysis'!E44/(1+$B$34)^3+'NAV Analysis'!F44/(1+$B$34)^4+'NAV Analysis'!G44/(1+$B$34)^5)+('NAV Analysis'!G44*((1+F$33)/(1+$B$34))*(1-((1+F$33)/(1+$B$34))^16)/(1-((1+F$33)/(1+$B$34)))/(1+$B$34)^5)+((Model!F59*(1+Assumptions!$C$21)^21+Model!F60*(1+Assumptions!$C$67)^21)*(1-Assumptions!$C$66)/(1+$B$34)^21)-Model!F55)/Assumptions!$C$69</f>
        <v>34.800585524881136</v>
      </c>
      <c r="G34" s="119">
        <f>(('NAV Analysis'!C44/(1+$B$34)^1+'NAV Analysis'!D44/(1+$B$34)^2+'NAV Analysis'!E44/(1+$B$34)^3+'NAV Analysis'!F44/(1+$B$34)^4+'NAV Analysis'!G44/(1+$B$34)^5)+('NAV Analysis'!G44*((1+G$33)/(1+$B$34))*(1-((1+G$33)/(1+$B$34))^16)/(1-((1+G$33)/(1+$B$34)))/(1+$B$34)^5)+((Model!F59*(1+Assumptions!$C$21)^21+Model!F60*(1+Assumptions!$C$67)^21)*(1-Assumptions!$C$66)/(1+$B$34)^21)-Model!F55)/Assumptions!$C$69</f>
        <v>35.214564144219054</v>
      </c>
      <c r="H34" s="119">
        <f>(('NAV Analysis'!C44/(1+$B$34)^1+'NAV Analysis'!D44/(1+$B$34)^2+'NAV Analysis'!E44/(1+$B$34)^3+'NAV Analysis'!F44/(1+$B$34)^4+'NAV Analysis'!G44/(1+$B$34)^5)+('NAV Analysis'!G44*((1+H$33)/(1+$B$34))*(1-((1+H$33)/(1+$B$34))^16)/(1-((1+H$33)/(1+$B$34)))/(1+$B$34)^5)+((Model!F59*(1+Assumptions!$C$21)^21+Model!F60*(1+Assumptions!$C$67)^21)*(1-Assumptions!$C$66)/(1+$B$34)^21)-Model!F55)/Assumptions!$C$69</f>
        <v>35.668657379931226</v>
      </c>
    </row>
    <row r="35" spans="2:8" ht="15" customHeight="1" x14ac:dyDescent="0.25">
      <c r="B35" s="117">
        <v>0.08</v>
      </c>
      <c r="C35" s="119">
        <f>(('NAV Analysis'!C44/(1+$B$35)^1+'NAV Analysis'!D44/(1+$B$35)^2+'NAV Analysis'!E44/(1+$B$35)^3+'NAV Analysis'!F44/(1+$B$35)^4+'NAV Analysis'!G44/(1+$B$35)^5)+('NAV Analysis'!G44*((1+C$33)/(1+$B$35))*(1-((1+C$33)/(1+$B$35))^16)/(1-((1+C$33)/(1+$B$35)))/(1+$B$35)^5)+((Model!F59*(1+Assumptions!$C$21)^21+Model!F60*(1+Assumptions!$C$67)^21)*(1-Assumptions!$C$66)/(1+$B$35)^21)-Model!F55)/Assumptions!$C$69</f>
        <v>28.255159326337246</v>
      </c>
      <c r="D35" s="119">
        <f>(('NAV Analysis'!C44/(1+$B$35)^1+'NAV Analysis'!D44/(1+$B$35)^2+'NAV Analysis'!E44/(1+$B$35)^3+'NAV Analysis'!F44/(1+$B$35)^4+'NAV Analysis'!G44/(1+$B$35)^5)+('NAV Analysis'!G44*((1+D$33)/(1+$B$35))*(1-((1+D$33)/(1+$B$35))^16)/(1-((1+D$33)/(1+$B$35)))/(1+$B$35)^5)+((Model!F59*(1+Assumptions!$C$21)^21+Model!F60*(1+Assumptions!$C$67)^21)*(1-Assumptions!$C$66)/(1+$B$35)^21)-Model!F55)/Assumptions!$C$69</f>
        <v>28.528720055566165</v>
      </c>
      <c r="E35" s="119">
        <f>(('NAV Analysis'!C44/(1+$B$35)^1+'NAV Analysis'!D44/(1+$B$35)^2+'NAV Analysis'!E44/(1+$B$35)^3+'NAV Analysis'!F44/(1+$B$35)^4+'NAV Analysis'!G44/(1+$B$35)^5)+('NAV Analysis'!G44*((1+E$33)/(1+$B$35))*(1-((1+E$33)/(1+$B$35))^16)/(1-((1+E$33)/(1+$B$35)))/(1+$B$35)^5)+((Model!F59*(1+Assumptions!$C$21)^21+Model!F60*(1+Assumptions!$C$67)^21)*(1-Assumptions!$C$66)/(1+$B$35)^21)-Model!F55)/Assumptions!$C$69</f>
        <v>28.827791130467851</v>
      </c>
      <c r="F35" s="119">
        <f>(('NAV Analysis'!C44/(1+$B$35)^1+'NAV Analysis'!D44/(1+$B$35)^2+'NAV Analysis'!E44/(1+$B$35)^3+'NAV Analysis'!F44/(1+$B$35)^4+'NAV Analysis'!G44/(1+$B$35)^5)+('NAV Analysis'!G44*((1+F$33)/(1+$B$35))*(1-((1+F$33)/(1+$B$35))^16)/(1-((1+F$33)/(1+$B$35)))/(1+$B$35)^5)+((Model!F59*(1+Assumptions!$C$21)^21+Model!F60*(1+Assumptions!$C$67)^21)*(1-Assumptions!$C$66)/(1+$B$35)^21)-Model!F55)/Assumptions!$C$69</f>
        <v>29.154978968331736</v>
      </c>
      <c r="G35" s="119">
        <f>(('NAV Analysis'!C44/(1+$B$35)^1+'NAV Analysis'!D44/(1+$B$35)^2+'NAV Analysis'!E44/(1+$B$35)^3+'NAV Analysis'!F44/(1+$B$35)^4+'NAV Analysis'!G44/(1+$B$35)^5)+('NAV Analysis'!G44*((1+G$33)/(1+$B$35))*(1-((1+G$33)/(1+$B$35))^16)/(1-((1+G$33)/(1+$B$35)))/(1+$B$35)^5)+((Model!F59*(1+Assumptions!$C$21)^21+Model!F60*(1+Assumptions!$C$67)^21)*(1-Assumptions!$C$66)/(1+$B$35)^21)-Model!F55)/Assumptions!$C$69</f>
        <v>29.513158075174335</v>
      </c>
      <c r="H35" s="119">
        <f>(('NAV Analysis'!C44/(1+$B$35)^1+'NAV Analysis'!D44/(1+$B$35)^2+'NAV Analysis'!E44/(1+$B$35)^3+'NAV Analysis'!F44/(1+$B$35)^4+'NAV Analysis'!G44/(1+$B$35)^5)+('NAV Analysis'!G44*((1+H$33)/(1+$B$35))*(1-((1+H$33)/(1+$B$35))^16)/(1-((1+H$33)/(1+$B$35)))/(1+$B$35)^5)+((Model!F59*(1+Assumptions!$C$21)^21+Model!F60*(1+Assumptions!$C$67)^21)*(1-Assumptions!$C$66)/(1+$B$35)^21)-Model!F55)/Assumptions!$C$69</f>
        <v>29.905497687563528</v>
      </c>
    </row>
    <row r="36" spans="2:8" ht="15" customHeight="1" x14ac:dyDescent="0.25">
      <c r="B36" s="117">
        <v>0.09</v>
      </c>
      <c r="C36" s="119">
        <f>(('NAV Analysis'!C44/(1+$B$36)^1+'NAV Analysis'!D44/(1+$B$36)^2+'NAV Analysis'!E44/(1+$B$36)^3+'NAV Analysis'!F44/(1+$B$36)^4+'NAV Analysis'!G44/(1+$B$36)^5)+('NAV Analysis'!G44*((1+C$33)/(1+$B$36))*(1-((1+C$33)/(1+$B$36))^16)/(1-((1+C$33)/(1+$B$36)))/(1+$B$36)^5)+((Model!F59*(1+Assumptions!$C$21)^21+Model!F60*(1+Assumptions!$C$67)^21)*(1-Assumptions!$C$66)/(1+$B$36)^21)-Model!F55)/Assumptions!$C$69</f>
        <v>23.728956000185381</v>
      </c>
      <c r="D36" s="119">
        <f>(('NAV Analysis'!C44/(1+$B$36)^1+'NAV Analysis'!D44/(1+$B$36)^2+'NAV Analysis'!E44/(1+$B$36)^3+'NAV Analysis'!F44/(1+$B$36)^4+'NAV Analysis'!G44/(1+$B$36)^5)+('NAV Analysis'!G44*((1+D$33)/(1+$B$36))*(1-((1+D$33)/(1+$B$36))^16)/(1-((1+D$33)/(1+$B$36)))/(1+$B$36)^5)+((Model!F59*(1+Assumptions!$C$21)^21+Model!F60*(1+Assumptions!$C$67)^21)*(1-Assumptions!$C$66)/(1+$B$36)^21)-Model!F55)/Assumptions!$C$69</f>
        <v>23.967335470014223</v>
      </c>
      <c r="E36" s="119">
        <f>(('NAV Analysis'!C44/(1+$B$36)^1+'NAV Analysis'!D44/(1+$B$36)^2+'NAV Analysis'!E44/(1+$B$36)^3+'NAV Analysis'!F44/(1+$B$36)^4+'NAV Analysis'!G44/(1+$B$36)^5)+('NAV Analysis'!G44*((1+E$33)/(1+$B$36))*(1-((1+E$33)/(1+$B$36))^16)/(1-((1+E$33)/(1+$B$36)))/(1+$B$36)^5)+((Model!F59*(1+Assumptions!$C$21)^21+Model!F60*(1+Assumptions!$C$67)^21)*(1-Assumptions!$C$66)/(1+$B$36)^21)-Model!F55)/Assumptions!$C$69</f>
        <v>24.227551837221142</v>
      </c>
      <c r="F36" s="119">
        <f>(('NAV Analysis'!C44/(1+$B$36)^1+'NAV Analysis'!D44/(1+$B$36)^2+'NAV Analysis'!E44/(1+$B$36)^3+'NAV Analysis'!F44/(1+$B$36)^4+'NAV Analysis'!G44/(1+$B$36)^5)+('NAV Analysis'!G44*((1+F$33)/(1+$B$36))*(1-((1+F$33)/(1+$B$36))^16)/(1-((1+F$33)/(1+$B$36)))/(1+$B$36)^5)+((Model!F59*(1+Assumptions!$C$21)^21+Model!F60*(1+Assumptions!$C$67)^21)*(1-Assumptions!$C$66)/(1+$B$36)^21)-Model!F55)/Assumptions!$C$69</f>
        <v>24.511812694395736</v>
      </c>
      <c r="G36" s="119">
        <f>(('NAV Analysis'!C44/(1+$B$36)^1+'NAV Analysis'!D44/(1+$B$36)^2+'NAV Analysis'!E44/(1+$B$36)^3+'NAV Analysis'!F44/(1+$B$36)^4+'NAV Analysis'!G44/(1+$B$36)^5)+('NAV Analysis'!G44*((1+G$33)/(1+$B$36))*(1-((1+G$33)/(1+$B$36))^16)/(1-((1+G$33)/(1+$B$36)))/(1+$B$36)^5)+((Model!F59*(1+Assumptions!$C$21)^21+Model!F60*(1+Assumptions!$C$67)^21)*(1-Assumptions!$C$66)/(1+$B$36)^21)-Model!F55)/Assumptions!$C$69</f>
        <v>24.822551148348573</v>
      </c>
      <c r="H36" s="119">
        <f>(('NAV Analysis'!C44/(1+$B$36)^1+'NAV Analysis'!D44/(1+$B$36)^2+'NAV Analysis'!E44/(1+$B$36)^3+'NAV Analysis'!F44/(1+$B$36)^4+'NAV Analysis'!G44/(1+$B$36)^5)+('NAV Analysis'!G44*((1+H$33)/(1+$B$36))*(1-((1+H$33)/(1+$B$36))^16)/(1-((1+H$33)/(1+$B$36)))/(1+$B$36)^5)+((Model!F59*(1+Assumptions!$C$21)^21+Model!F60*(1+Assumptions!$C$67)^21)*(1-Assumptions!$C$66)/(1+$B$36)^21)-Model!F55)/Assumptions!$C$69</f>
        <v>25.162448124831982</v>
      </c>
    </row>
    <row r="37" spans="2:8" ht="15" customHeight="1" x14ac:dyDescent="0.25">
      <c r="B37" s="117">
        <v>0.1</v>
      </c>
      <c r="C37" s="119">
        <f>(('NAV Analysis'!C44/(1+$B$37)^1+'NAV Analysis'!D44/(1+$B$37)^2+'NAV Analysis'!E44/(1+$B$37)^3+'NAV Analysis'!F44/(1+$B$37)^4+'NAV Analysis'!G44/(1+$B$37)^5)+('NAV Analysis'!G44*((1+C$33)/(1+$B$37))*(1-((1+C$33)/(1+$B$37))^16)/(1-((1+C$33)/(1+$B$37)))/(1+$B$37)^5)+((Model!F59*(1+Assumptions!$C$21)^21+Model!F60*(1+Assumptions!$C$67)^21)*(1-Assumptions!$C$66)/(1+$B$37)^21)-Model!F55)/Assumptions!$C$69</f>
        <v>20.000170095057747</v>
      </c>
      <c r="D37" s="119">
        <f>(('NAV Analysis'!C44/(1+$B$37)^1+'NAV Analysis'!D44/(1+$B$37)^2+'NAV Analysis'!E44/(1+$B$37)^3+'NAV Analysis'!F44/(1+$B$37)^4+'NAV Analysis'!G44/(1+$B$37)^5)+('NAV Analysis'!G44*((1+D$33)/(1+$B$37))*(1-((1+D$33)/(1+$B$37))^16)/(1-((1+D$33)/(1+$B$37)))/(1+$B$37)^5)+((Model!F59*(1+Assumptions!$C$21)^21+Model!F60*(1+Assumptions!$C$67)^21)*(1-Assumptions!$C$66)/(1+$B$37)^21)-Model!F55)/Assumptions!$C$69</f>
        <v>20.208448346046058</v>
      </c>
      <c r="E37" s="119">
        <f>(('NAV Analysis'!C44/(1+$B$37)^1+'NAV Analysis'!D44/(1+$B$37)^2+'NAV Analysis'!E44/(1+$B$37)^3+'NAV Analysis'!F44/(1+$B$37)^4+'NAV Analysis'!G44/(1+$B$37)^5)+('NAV Analysis'!G44*((1+E$33)/(1+$B$37))*(1-((1+E$33)/(1+$B$37))^16)/(1-((1+E$33)/(1+$B$37)))/(1+$B$37)^5)+((Model!F59*(1+Assumptions!$C$21)^21+Model!F60*(1+Assumptions!$C$67)^21)*(1-Assumptions!$C$66)/(1+$B$37)^21)-Model!F55)/Assumptions!$C$69</f>
        <v>20.435462990776919</v>
      </c>
      <c r="F37" s="119">
        <f>(('NAV Analysis'!C44/(1+$B$37)^1+'NAV Analysis'!D44/(1+$B$37)^2+'NAV Analysis'!E44/(1+$B$37)^3+'NAV Analysis'!F44/(1+$B$37)^4+'NAV Analysis'!G44/(1+$B$37)^5)+('NAV Analysis'!G44*((1+F$33)/(1+$B$37))*(1-((1+F$33)/(1+$B$37))^16)/(1-((1+F$33)/(1+$B$37)))/(1+$B$37)^5)+((Model!F59*(1+Assumptions!$C$21)^21+Model!F60*(1+Assumptions!$C$67)^21)*(1-Assumptions!$C$66)/(1+$B$37)^21)-Model!F55)/Assumptions!$C$69</f>
        <v>20.683087807419327</v>
      </c>
      <c r="G37" s="119">
        <f>(('NAV Analysis'!C44/(1+$B$37)^1+'NAV Analysis'!D44/(1+$B$37)^2+'NAV Analysis'!E44/(1+$B$37)^3+'NAV Analysis'!F44/(1+$B$37)^4+'NAV Analysis'!G44/(1+$B$37)^5)+('NAV Analysis'!G44*((1+G$33)/(1+$B$37))*(1-((1+G$33)/(1+$B$37))^16)/(1-((1+G$33)/(1+$B$37)))/(1+$B$37)^5)+((Model!F59*(1+Assumptions!$C$21)^21+Model!F60*(1+Assumptions!$C$67)^21)*(1-Assumptions!$C$66)/(1+$B$37)^21)-Model!F55)/Assumptions!$C$69</f>
        <v>20.953386653248351</v>
      </c>
      <c r="H37" s="119">
        <f>(('NAV Analysis'!C44/(1+$B$37)^1+'NAV Analysis'!D44/(1+$B$37)^2+'NAV Analysis'!E44/(1+$B$37)^3+'NAV Analysis'!F44/(1+$B$37)^4+'NAV Analysis'!G44/(1+$B$37)^5)+('NAV Analysis'!G44*((1+H$33)/(1+$B$37))*(1-((1+H$33)/(1+$B$37))^16)/(1-((1+H$33)/(1+$B$37)))/(1+$B$37)^5)+((Model!F59*(1+Assumptions!$C$21)^21+Model!F60*(1+Assumptions!$C$67)^21)*(1-Assumptions!$C$66)/(1+$B$37)^21)-Model!F55)/Assumptions!$C$69</f>
        <v>21.248632173983882</v>
      </c>
    </row>
    <row r="38" spans="2:8" ht="15" customHeight="1" x14ac:dyDescent="0.25">
      <c r="B38" s="117">
        <v>0.11</v>
      </c>
      <c r="C38" s="119">
        <f>(('NAV Analysis'!C44/(1+$B$38)^1+'NAV Analysis'!D44/(1+$B$38)^2+'NAV Analysis'!E44/(1+$B$38)^3+'NAV Analysis'!F44/(1+$B$38)^4+'NAV Analysis'!G44/(1+$B$38)^5)+('NAV Analysis'!G44*((1+C$33)/(1+$B$38))*(1-((1+C$33)/(1+$B$38))^16)/(1-((1+C$33)/(1+$B$38)))/(1+$B$38)^5)+((Model!F59*(1+Assumptions!$C$21)^21+Model!F60*(1+Assumptions!$C$67)^21)*(1-Assumptions!$C$66)/(1+$B$38)^21)-Model!F55)/Assumptions!$C$69</f>
        <v>16.92026386871154</v>
      </c>
      <c r="D38" s="119">
        <f>(('NAV Analysis'!C44/(1+$B$38)^1+'NAV Analysis'!D44/(1+$B$38)^2+'NAV Analysis'!E44/(1+$B$38)^3+'NAV Analysis'!F44/(1+$B$38)^4+'NAV Analysis'!G44/(1+$B$38)^5)+('NAV Analysis'!G44*((1+D$33)/(1+$B$38))*(1-((1+D$33)/(1+$B$38))^16)/(1-((1+D$33)/(1+$B$38)))/(1+$B$38)^5)+((Model!F59*(1+Assumptions!$C$21)^21+Model!F60*(1+Assumptions!$C$67)^21)*(1-Assumptions!$C$66)/(1+$B$38)^21)-Model!F55)/Assumptions!$C$69</f>
        <v>17.102719763175489</v>
      </c>
      <c r="E38" s="119">
        <f>(('NAV Analysis'!C44/(1+$B$38)^1+'NAV Analysis'!D44/(1+$B$38)^2+'NAV Analysis'!E44/(1+$B$38)^3+'NAV Analysis'!F44/(1+$B$38)^4+'NAV Analysis'!G44/(1+$B$38)^5)+('NAV Analysis'!G44*((1+E$33)/(1+$B$38))*(1-((1+E$33)/(1+$B$38))^16)/(1-((1+E$33)/(1+$B$38)))/(1+$B$38)^5)+((Model!F59*(1+Assumptions!$C$21)^21+Model!F60*(1+Assumptions!$C$67)^21)*(1-Assumptions!$C$66)/(1+$B$38)^21)-Model!F55)/Assumptions!$C$69</f>
        <v>17.301289056854319</v>
      </c>
      <c r="F38" s="119">
        <f>(('NAV Analysis'!C44/(1+$B$38)^1+'NAV Analysis'!D44/(1+$B$38)^2+'NAV Analysis'!E44/(1+$B$38)^3+'NAV Analysis'!F44/(1+$B$38)^4+'NAV Analysis'!G44/(1+$B$38)^5)+('NAV Analysis'!G44*((1+F$33)/(1+$B$38))*(1-((1+F$33)/(1+$B$38))^16)/(1-((1+F$33)/(1+$B$38)))/(1+$B$38)^5)+((Model!F59*(1+Assumptions!$C$21)^21+Model!F60*(1+Assumptions!$C$67)^21)*(1-Assumptions!$C$66)/(1+$B$38)^21)-Model!F55)/Assumptions!$C$69</f>
        <v>17.517565529810803</v>
      </c>
      <c r="G38" s="119">
        <f>(('NAV Analysis'!C44/(1+$B$38)^1+'NAV Analysis'!D44/(1+$B$38)^2+'NAV Analysis'!E44/(1+$B$38)^3+'NAV Analysis'!F44/(1+$B$38)^4+'NAV Analysis'!G44/(1+$B$38)^5)+('NAV Analysis'!G44*((1+G$33)/(1+$B$38))*(1-((1+G$33)/(1+$B$38))^16)/(1-((1+G$33)/(1+$B$38)))/(1+$B$38)^5)+((Model!F59*(1+Assumptions!$C$21)^21+Model!F60*(1+Assumptions!$C$67)^21)*(1-Assumptions!$C$66)/(1+$B$38)^21)-Model!F55)/Assumptions!$C$69</f>
        <v>17.753303488530896</v>
      </c>
      <c r="H38" s="119">
        <f>(('NAV Analysis'!C44/(1+$B$38)^1+'NAV Analysis'!D44/(1+$B$38)^2+'NAV Analysis'!E44/(1+$B$38)^3+'NAV Analysis'!F44/(1+$B$38)^4+'NAV Analysis'!G44/(1+$B$38)^5)+('NAV Analysis'!G44*((1+H$33)/(1+$B$38))*(1-((1+H$33)/(1+$B$38))^16)/(1-((1+H$33)/(1+$B$38)))/(1+$B$38)^5)+((Model!F59*(1+Assumptions!$C$21)^21+Model!F60*(1+Assumptions!$C$67)^21)*(1-Assumptions!$C$66)/(1+$B$38)^21)-Model!F55)/Assumptions!$C$69</f>
        <v>18.010433488920981</v>
      </c>
    </row>
    <row r="39" spans="2:8" ht="15" customHeight="1" x14ac:dyDescent="0.25">
      <c r="B39" s="117">
        <v>0.12</v>
      </c>
      <c r="C39" s="119">
        <f>(('NAV Analysis'!C44/(1+$B$39)^1+'NAV Analysis'!D44/(1+$B$39)^2+'NAV Analysis'!E44/(1+$B$39)^3+'NAV Analysis'!F44/(1+$B$39)^4+'NAV Analysis'!G44/(1+$B$39)^5)+('NAV Analysis'!G44*((1+C$33)/(1+$B$39))*(1-((1+C$33)/(1+$B$39))^16)/(1-((1+C$33)/(1+$B$39)))/(1+$B$39)^5)+((Model!F59*(1+Assumptions!$C$21)^21+Model!F60*(1+Assumptions!$C$67)^21)*(1-Assumptions!$C$66)/(1+$B$39)^21)-Model!F55)/Assumptions!$C$69</f>
        <v>14.369547093440257</v>
      </c>
      <c r="D39" s="119">
        <f>(('NAV Analysis'!C44/(1+$B$39)^1+'NAV Analysis'!D44/(1+$B$39)^2+'NAV Analysis'!E44/(1+$B$39)^3+'NAV Analysis'!F44/(1+$B$39)^4+'NAV Analysis'!G44/(1+$B$39)^5)+('NAV Analysis'!G44*((1+D$33)/(1+$B$39))*(1-((1+D$33)/(1+$B$39))^16)/(1-((1+D$33)/(1+$B$39)))/(1+$B$39)^5)+((Model!F59*(1+Assumptions!$C$21)^21+Model!F60*(1+Assumptions!$C$67)^21)*(1-Assumptions!$C$66)/(1+$B$39)^21)-Model!F55)/Assumptions!$C$69</f>
        <v>14.529793904994262</v>
      </c>
      <c r="E39" s="119">
        <f>(('NAV Analysis'!C44/(1+$B$39)^1+'NAV Analysis'!D44/(1+$B$39)^2+'NAV Analysis'!E44/(1+$B$39)^3+'NAV Analysis'!F44/(1+$B$39)^4+'NAV Analysis'!G44/(1+$B$39)^5)+('NAV Analysis'!G44*((1+E$33)/(1+$B$39))*(1-((1+E$33)/(1+$B$39))^16)/(1-((1+E$33)/(1+$B$39)))/(1+$B$39)^5)+((Model!F59*(1+Assumptions!$C$21)^21+Model!F60*(1+Assumptions!$C$67)^21)*(1-Assumptions!$C$66)/(1+$B$39)^21)-Model!F55)/Assumptions!$C$69</f>
        <v>14.70393000845651</v>
      </c>
      <c r="F39" s="119">
        <f>(('NAV Analysis'!C44/(1+$B$39)^1+'NAV Analysis'!D44/(1+$B$39)^2+'NAV Analysis'!E44/(1+$B$39)^3+'NAV Analysis'!F44/(1+$B$39)^4+'NAV Analysis'!G44/(1+$B$39)^5)+('NAV Analysis'!G44*((1+F$33)/(1+$B$39))*(1-((1+F$33)/(1+$B$39))^16)/(1-((1+F$33)/(1+$B$39)))/(1+$B$39)^5)+((Model!F59*(1+Assumptions!$C$21)^21+Model!F60*(1+Assumptions!$C$67)^21)*(1-Assumptions!$C$66)/(1+$B$39)^21)-Model!F55)/Assumptions!$C$69</f>
        <v>14.893313831565614</v>
      </c>
      <c r="G39" s="119">
        <f>(('NAV Analysis'!C44/(1+$B$39)^1+'NAV Analysis'!D44/(1+$B$39)^2+'NAV Analysis'!E44/(1+$B$39)^3+'NAV Analysis'!F44/(1+$B$39)^4+'NAV Analysis'!G44/(1+$B$39)^5)+('NAV Analysis'!G44*((1+G$33)/(1+$B$39))*(1-((1+G$33)/(1+$B$39))^16)/(1-((1+G$33)/(1+$B$39)))/(1+$B$39)^5)+((Model!F59*(1+Assumptions!$C$21)^21+Model!F60*(1+Assumptions!$C$67)^21)*(1-Assumptions!$C$66)/(1+$B$39)^21)-Model!F55)/Assumptions!$C$69</f>
        <v>15.099439632575942</v>
      </c>
      <c r="H39" s="119">
        <f>(('NAV Analysis'!C44/(1+$B$39)^1+'NAV Analysis'!D44/(1+$B$39)^2+'NAV Analysis'!E44/(1+$B$39)^3+'NAV Analysis'!F44/(1+$B$39)^4+'NAV Analysis'!G44/(1+$B$39)^5)+('NAV Analysis'!G44*((1+H$33)/(1+$B$39))*(1-((1+H$33)/(1+$B$39))^16)/(1-((1+H$33)/(1+$B$39)))/(1+$B$39)^5)+((Model!F59*(1+Assumptions!$C$21)^21+Model!F60*(1+Assumptions!$C$67)^21)*(1-Assumptions!$C$66)/(1+$B$39)^21)-Model!F55)/Assumptions!$C$69</f>
        <v>15.32395073801095</v>
      </c>
    </row>
    <row r="40" spans="2:8" ht="15" customHeight="1" x14ac:dyDescent="0.25">
      <c r="B40" s="117">
        <v>0.13</v>
      </c>
      <c r="C40" s="119">
        <f>(('NAV Analysis'!C44/(1+$B$40)^1+'NAV Analysis'!D44/(1+$B$40)^2+'NAV Analysis'!E44/(1+$B$40)^3+'NAV Analysis'!F44/(1+$B$40)^4+'NAV Analysis'!G44/(1+$B$40)^5)+('NAV Analysis'!G44*((1+C$33)/(1+$B$40))*(1-((1+C$33)/(1+$B$40))^16)/(1-((1+C$33)/(1+$B$40)))/(1+$B$40)^5)+((Model!F59*(1+Assumptions!$C$21)^21+Model!F60*(1+Assumptions!$C$67)^21)*(1-Assumptions!$C$66)/(1+$B$40)^21)-Model!F55)/Assumptions!$C$69</f>
        <v>12.251368514208099</v>
      </c>
      <c r="D40" s="119">
        <f>(('NAV Analysis'!C44/(1+$B$40)^1+'NAV Analysis'!D44/(1+$B$40)^2+'NAV Analysis'!E44/(1+$B$40)^3+'NAV Analysis'!F44/(1+$B$40)^4+'NAV Analysis'!G44/(1+$B$40)^5)+('NAV Analysis'!G44*((1+D$33)/(1+$B$40))*(1-((1+D$33)/(1+$B$40))^16)/(1-((1+D$33)/(1+$B$40)))/(1+$B$40)^5)+((Model!F59*(1+Assumptions!$C$21)^21+Model!F60*(1+Assumptions!$C$67)^21)*(1-Assumptions!$C$66)/(1+$B$40)^21)-Model!F55)/Assumptions!$C$69</f>
        <v>12.392465181425713</v>
      </c>
      <c r="E40" s="119">
        <f>(('NAV Analysis'!C44/(1+$B$40)^1+'NAV Analysis'!D44/(1+$B$40)^2+'NAV Analysis'!E44/(1+$B$40)^3+'NAV Analysis'!F44/(1+$B$40)^4+'NAV Analysis'!G44/(1+$B$40)^5)+('NAV Analysis'!G44*((1+E$33)/(1+$B$40))*(1-((1+E$33)/(1+$B$40))^16)/(1-((1+E$33)/(1+$B$40)))/(1+$B$40)^5)+((Model!F59*(1+Assumptions!$C$21)^21+Model!F60*(1+Assumptions!$C$67)^21)*(1-Assumptions!$C$66)/(1+$B$40)^21)-Model!F55)/Assumptions!$C$69</f>
        <v>12.545561000925007</v>
      </c>
      <c r="F40" s="119">
        <f>(('NAV Analysis'!C44/(1+$B$40)^1+'NAV Analysis'!D44/(1+$B$40)^2+'NAV Analysis'!E44/(1+$B$40)^3+'NAV Analysis'!F44/(1+$B$40)^4+'NAV Analysis'!G44/(1+$B$40)^5)+('NAV Analysis'!G44*((1+F$33)/(1+$B$40))*(1-((1+F$33)/(1+$B$40))^16)/(1-((1+F$33)/(1+$B$40)))/(1+$B$40)^5)+((Model!F59*(1+Assumptions!$C$21)^21+Model!F60*(1+Assumptions!$C$67)^21)*(1-Assumptions!$C$66)/(1+$B$40)^21)-Model!F55)/Assumptions!$C$69</f>
        <v>12.711816164660737</v>
      </c>
      <c r="G40" s="119">
        <f>(('NAV Analysis'!C44/(1+$B$40)^1+'NAV Analysis'!D44/(1+$B$40)^2+'NAV Analysis'!E44/(1+$B$40)^3+'NAV Analysis'!F44/(1+$B$40)^4+'NAV Analysis'!G44/(1+$B$40)^5)+('NAV Analysis'!G44*((1+G$33)/(1+$B$40))*(1-((1+G$33)/(1+$B$40))^16)/(1-((1+G$33)/(1+$B$40)))/(1+$B$40)^5)+((Model!F59*(1+Assumptions!$C$21)^21+Model!F60*(1+Assumptions!$C$67)^21)*(1-Assumptions!$C$66)/(1+$B$40)^21)-Model!F55)/Assumptions!$C$69</f>
        <v>12.892506017290678</v>
      </c>
      <c r="H40" s="119">
        <f>(('NAV Analysis'!C44/(1+$B$40)^1+'NAV Analysis'!D44/(1+$B$40)^2+'NAV Analysis'!E44/(1+$B$40)^3+'NAV Analysis'!F44/(1+$B$40)^4+'NAV Analysis'!G44/(1+$B$40)^5)+('NAV Analysis'!G44*((1+H$33)/(1+$B$40))*(1-((1+H$33)/(1+$B$40))^16)/(1-((1+H$33)/(1+$B$40)))/(1+$B$40)^5)+((Model!F59*(1+Assumptions!$C$21)^21+Model!F60*(1+Assumptions!$C$67)^21)*(1-Assumptions!$C$66)/(1+$B$40)^21)-Model!F55)/Assumptions!$C$69</f>
        <v>13.089032221784622</v>
      </c>
    </row>
    <row r="41" spans="2:8" ht="15" customHeight="1" x14ac:dyDescent="0.25">
      <c r="B41" s="117">
        <v>0.14000000000000001</v>
      </c>
      <c r="C41" s="119">
        <f>(('NAV Analysis'!C44/(1+$B$41)^1+'NAV Analysis'!D44/(1+$B$41)^2+'NAV Analysis'!E44/(1+$B$41)^3+'NAV Analysis'!F44/(1+$B$41)^4+'NAV Analysis'!G44/(1+$B$41)^5)+('NAV Analysis'!G44*((1+C$33)/(1+$B$41))*(1-((1+C$33)/(1+$B$41))^16)/(1-((1+C$33)/(1+$B$41)))/(1+$B$41)^5)+((Model!F59*(1+Assumptions!$C$21)^21+Model!F60*(1+Assumptions!$C$67)^21)*(1-Assumptions!$C$66)/(1+$B$41)^21)-Model!F55)/Assumptions!$C$69</f>
        <v>10.487516085418831</v>
      </c>
      <c r="D41" s="119">
        <f>(('NAV Analysis'!C44/(1+$B$41)^1+'NAV Analysis'!D44/(1+$B$41)^2+'NAV Analysis'!E44/(1+$B$41)^3+'NAV Analysis'!F44/(1+$B$41)^4+'NAV Analysis'!G44/(1+$B$41)^5)+('NAV Analysis'!G44*((1+D$33)/(1+$B$41))*(1-((1+D$33)/(1+$B$41))^16)/(1-((1+D$33)/(1+$B$41)))/(1+$B$41)^5)+((Model!F59*(1+Assumptions!$C$21)^21+Model!F60*(1+Assumptions!$C$67)^21)*(1-Assumptions!$C$66)/(1+$B$41)^21)-Model!F55)/Assumptions!$C$69</f>
        <v>10.612058724011519</v>
      </c>
      <c r="E41" s="119">
        <f>(('NAV Analysis'!C44/(1+$B$41)^1+'NAV Analysis'!D44/(1+$B$41)^2+'NAV Analysis'!E44/(1+$B$41)^3+'NAV Analysis'!F44/(1+$B$41)^4+'NAV Analysis'!G44/(1+$B$41)^5)+('NAV Analysis'!G44*((1+E$33)/(1+$B$41))*(1-((1+E$33)/(1+$B$41))^16)/(1-((1+E$33)/(1+$B$41)))/(1+$B$41)^5)+((Model!F59*(1+Assumptions!$C$21)^21+Model!F60*(1+Assumptions!$C$67)^21)*(1-Assumptions!$C$66)/(1+$B$41)^21)-Model!F55)/Assumptions!$C$69</f>
        <v>10.746990615997145</v>
      </c>
      <c r="F41" s="119">
        <f>(('NAV Analysis'!C44/(1+$B$41)^1+'NAV Analysis'!D44/(1+$B$41)^2+'NAV Analysis'!E44/(1+$B$41)^3+'NAV Analysis'!F44/(1+$B$41)^4+'NAV Analysis'!G44/(1+$B$41)^5)+('NAV Analysis'!G44*((1+F$33)/(1+$B$41))*(1-((1+F$33)/(1+$B$41))^16)/(1-((1+F$33)/(1+$B$41)))/(1+$B$41)^5)+((Model!F59*(1+Assumptions!$C$21)^21+Model!F60*(1+Assumptions!$C$67)^21)*(1-Assumptions!$C$66)/(1+$B$41)^21)-Model!F55)/Assumptions!$C$69</f>
        <v>10.893304639112303</v>
      </c>
      <c r="G41" s="119">
        <f>(('NAV Analysis'!C44/(1+$B$41)^1+'NAV Analysis'!D44/(1+$B$41)^2+'NAV Analysis'!E44/(1+$B$41)^3+'NAV Analysis'!F44/(1+$B$41)^4+'NAV Analysis'!G44/(1+$B$41)^5)+('NAV Analysis'!G44*((1+G$33)/(1+$B$41))*(1-((1+G$33)/(1+$B$41))^16)/(1-((1+G$33)/(1+$B$41)))/(1+$B$41)^5)+((Model!F59*(1+Assumptions!$C$21)^21+Model!F60*(1+Assumptions!$C$67)^21)*(1-Assumptions!$C$66)/(1+$B$41)^21)-Model!F55)/Assumptions!$C$69</f>
        <v>11.052091476866904</v>
      </c>
      <c r="H41" s="119">
        <f>(('NAV Analysis'!C44/(1+$B$41)^1+'NAV Analysis'!D44/(1+$B$41)^2+'NAV Analysis'!E44/(1+$B$41)^3+'NAV Analysis'!F44/(1+$B$41)^4+'NAV Analysis'!G44/(1+$B$41)^5)+('NAV Analysis'!G44*((1+H$33)/(1+$B$41))*(1-((1+H$33)/(1+$B$41))^16)/(1-((1+H$33)/(1+$B$41)))/(1+$B$41)^5)+((Model!F59*(1+Assumptions!$C$21)^21+Model!F60*(1+Assumptions!$C$67)^21)*(1-Assumptions!$C$66)/(1+$B$41)^21)-Model!F55)/Assumptions!$C$69</f>
        <v>11.224549053224832</v>
      </c>
    </row>
  </sheetData>
  <mergeCells count="2">
    <mergeCell ref="B19:J19"/>
    <mergeCell ref="B31:J31"/>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8.7109375" defaultRowHeight="15" x14ac:dyDescent="0.25"/>
  <cols>
    <col min="1" max="1" width="2" customWidth="1"/>
    <col min="2" max="2" width="42" customWidth="1"/>
    <col min="3" max="17" width="10" customWidth="1"/>
  </cols>
  <sheetData>
    <row r="1" spans="1:15" ht="15" customHeight="1" x14ac:dyDescent="0.25">
      <c r="A1" s="25" t="s">
        <v>1</v>
      </c>
    </row>
    <row r="2" spans="1:15" ht="17.25" customHeight="1" x14ac:dyDescent="0.25">
      <c r="A2" s="26" t="s">
        <v>40</v>
      </c>
      <c r="B2" s="27" t="s">
        <v>371</v>
      </c>
      <c r="C2" s="130" t="s">
        <v>372</v>
      </c>
      <c r="D2" s="131" t="s">
        <v>373</v>
      </c>
    </row>
    <row r="3" spans="1:15" ht="15" customHeight="1" x14ac:dyDescent="0.25">
      <c r="B3" s="191" t="s">
        <v>374</v>
      </c>
      <c r="C3" s="191"/>
      <c r="D3" s="191"/>
      <c r="E3" s="191"/>
      <c r="F3" s="191"/>
      <c r="G3" s="191"/>
      <c r="H3" s="191"/>
      <c r="I3" s="191"/>
      <c r="J3" s="191"/>
      <c r="K3" s="191"/>
      <c r="L3" s="191"/>
      <c r="M3" s="191"/>
    </row>
    <row r="5" spans="1:15" ht="15" customHeight="1" x14ac:dyDescent="0.25">
      <c r="B5" s="4"/>
      <c r="C5" s="37" t="s">
        <v>375</v>
      </c>
      <c r="D5" s="37" t="s">
        <v>376</v>
      </c>
      <c r="E5" s="37" t="s">
        <v>377</v>
      </c>
      <c r="F5" s="37" t="s">
        <v>378</v>
      </c>
      <c r="G5" s="37" t="s">
        <v>379</v>
      </c>
      <c r="H5" s="37" t="s">
        <v>380</v>
      </c>
      <c r="I5" s="37" t="s">
        <v>381</v>
      </c>
      <c r="J5" s="37" t="s">
        <v>382</v>
      </c>
      <c r="K5" s="37" t="s">
        <v>108</v>
      </c>
      <c r="L5" s="37" t="s">
        <v>109</v>
      </c>
      <c r="M5" s="37" t="s">
        <v>110</v>
      </c>
      <c r="N5" s="37" t="s">
        <v>111</v>
      </c>
      <c r="O5" s="51" t="s">
        <v>383</v>
      </c>
    </row>
    <row r="7" spans="1:15" ht="21.75" customHeight="1" x14ac:dyDescent="0.25">
      <c r="B7" s="2" t="s">
        <v>384</v>
      </c>
      <c r="C7" s="43"/>
      <c r="D7" s="43"/>
      <c r="E7" s="43"/>
      <c r="F7" s="43"/>
      <c r="G7" s="43"/>
      <c r="H7" s="43"/>
      <c r="I7" s="43"/>
      <c r="J7" s="43"/>
      <c r="K7" s="43"/>
      <c r="L7" s="43"/>
      <c r="M7" s="43"/>
      <c r="N7" s="43"/>
      <c r="O7" s="43"/>
    </row>
    <row r="9" spans="1:15" ht="15" customHeight="1" x14ac:dyDescent="0.25">
      <c r="B9" s="58" t="s">
        <v>385</v>
      </c>
      <c r="C9" s="132">
        <v>51.93</v>
      </c>
      <c r="D9" s="132">
        <v>52.9</v>
      </c>
      <c r="E9" s="132">
        <v>49.78</v>
      </c>
      <c r="F9" s="133">
        <v>55.4</v>
      </c>
      <c r="G9" s="133">
        <v>57.24</v>
      </c>
      <c r="H9" s="133">
        <v>56.04</v>
      </c>
      <c r="I9" s="133">
        <v>59.09</v>
      </c>
      <c r="J9" s="133">
        <v>57.42</v>
      </c>
      <c r="K9" s="133">
        <v>59.38</v>
      </c>
      <c r="L9" s="134">
        <v>62.3</v>
      </c>
      <c r="M9" s="133">
        <v>53.59</v>
      </c>
      <c r="N9" s="134">
        <v>64.95</v>
      </c>
      <c r="O9" s="134">
        <v>66.180000000000007</v>
      </c>
    </row>
    <row r="10" spans="1:15" ht="15" customHeight="1" x14ac:dyDescent="0.25">
      <c r="B10" s="64" t="s">
        <v>386</v>
      </c>
      <c r="C10" s="135">
        <f t="shared" ref="C10:O10" si="0">C9*60</f>
        <v>3115.8</v>
      </c>
      <c r="D10" s="135">
        <f t="shared" si="0"/>
        <v>3174</v>
      </c>
      <c r="E10" s="135">
        <f t="shared" si="0"/>
        <v>2986.8</v>
      </c>
      <c r="F10" s="135">
        <f t="shared" si="0"/>
        <v>3324</v>
      </c>
      <c r="G10" s="135">
        <f t="shared" si="0"/>
        <v>3434.4</v>
      </c>
      <c r="H10" s="135">
        <f t="shared" si="0"/>
        <v>3362.4</v>
      </c>
      <c r="I10" s="135">
        <f t="shared" si="0"/>
        <v>3545.4</v>
      </c>
      <c r="J10" s="135">
        <f t="shared" si="0"/>
        <v>3445.2000000000003</v>
      </c>
      <c r="K10" s="135">
        <f t="shared" si="0"/>
        <v>3562.8</v>
      </c>
      <c r="L10" s="135">
        <f t="shared" si="0"/>
        <v>3738</v>
      </c>
      <c r="M10" s="135">
        <f t="shared" si="0"/>
        <v>3215.4</v>
      </c>
      <c r="N10" s="135">
        <f t="shared" si="0"/>
        <v>3897</v>
      </c>
      <c r="O10" s="135">
        <f t="shared" si="0"/>
        <v>3970.8</v>
      </c>
    </row>
    <row r="11" spans="1:15" ht="15" customHeight="1" x14ac:dyDescent="0.25">
      <c r="B11" s="64" t="s">
        <v>387</v>
      </c>
      <c r="C11" s="136" t="s">
        <v>388</v>
      </c>
      <c r="D11" s="137">
        <f t="shared" ref="D11:O11" si="1">D9/C9-1</f>
        <v>1.867899094935499E-2</v>
      </c>
      <c r="E11" s="137">
        <f t="shared" si="1"/>
        <v>-5.8979206049149302E-2</v>
      </c>
      <c r="F11" s="137">
        <f t="shared" si="1"/>
        <v>0.11289674568099639</v>
      </c>
      <c r="G11" s="137">
        <f t="shared" si="1"/>
        <v>3.3212996389891725E-2</v>
      </c>
      <c r="H11" s="137">
        <f t="shared" si="1"/>
        <v>-2.0964360587002129E-2</v>
      </c>
      <c r="I11" s="137">
        <f t="shared" si="1"/>
        <v>5.4425410421127918E-2</v>
      </c>
      <c r="J11" s="137">
        <f t="shared" si="1"/>
        <v>-2.8261973261127116E-2</v>
      </c>
      <c r="K11" s="137">
        <f t="shared" si="1"/>
        <v>3.4134447927551381E-2</v>
      </c>
      <c r="L11" s="137">
        <f t="shared" si="1"/>
        <v>4.9174806332098253E-2</v>
      </c>
      <c r="M11" s="137">
        <f t="shared" si="1"/>
        <v>-0.13980738362760825</v>
      </c>
      <c r="N11" s="137">
        <f t="shared" si="1"/>
        <v>0.21197984698637806</v>
      </c>
      <c r="O11" s="137">
        <f t="shared" si="1"/>
        <v>1.8937644341801452E-2</v>
      </c>
    </row>
    <row r="12" spans="1:15" ht="15" customHeight="1" x14ac:dyDescent="0.25">
      <c r="B12" s="58" t="s">
        <v>389</v>
      </c>
      <c r="C12" s="63">
        <f t="shared" ref="C12:O12" si="2">C9/$C$9*100</f>
        <v>100</v>
      </c>
      <c r="D12" s="63">
        <f t="shared" si="2"/>
        <v>101.8678990949355</v>
      </c>
      <c r="E12" s="63">
        <f t="shared" si="2"/>
        <v>95.85981128442134</v>
      </c>
      <c r="F12" s="63">
        <f t="shared" si="2"/>
        <v>106.68207202002695</v>
      </c>
      <c r="G12" s="63">
        <f t="shared" si="2"/>
        <v>110.22530329289428</v>
      </c>
      <c r="H12" s="63">
        <f t="shared" si="2"/>
        <v>107.91450028885036</v>
      </c>
      <c r="I12" s="63">
        <f t="shared" si="2"/>
        <v>113.78779125746196</v>
      </c>
      <c r="J12" s="63">
        <f t="shared" si="2"/>
        <v>110.57192374350086</v>
      </c>
      <c r="K12" s="63">
        <f t="shared" si="2"/>
        <v>114.34623531677259</v>
      </c>
      <c r="L12" s="63">
        <f t="shared" si="2"/>
        <v>119.9691892932794</v>
      </c>
      <c r="M12" s="63">
        <f t="shared" si="2"/>
        <v>103.19661082226075</v>
      </c>
      <c r="N12" s="63">
        <f t="shared" si="2"/>
        <v>125.07221259387637</v>
      </c>
      <c r="O12" s="63">
        <f t="shared" si="2"/>
        <v>127.4407856730214</v>
      </c>
    </row>
    <row r="13" spans="1:15" ht="15" customHeight="1" x14ac:dyDescent="0.25">
      <c r="B13" s="64" t="s">
        <v>390</v>
      </c>
      <c r="C13" s="138">
        <v>51.223626373626402</v>
      </c>
      <c r="D13" s="138">
        <v>52.253021978021998</v>
      </c>
      <c r="E13" s="138">
        <v>53.282417582417601</v>
      </c>
      <c r="F13" s="138">
        <v>54.311813186813197</v>
      </c>
      <c r="G13" s="138">
        <v>55.3412087912088</v>
      </c>
      <c r="H13" s="138">
        <v>56.370604395604403</v>
      </c>
      <c r="I13" s="138">
        <v>57.4</v>
      </c>
      <c r="J13" s="138">
        <v>58.429395604395602</v>
      </c>
      <c r="K13" s="138">
        <v>59.458791208791197</v>
      </c>
      <c r="L13" s="138">
        <v>60.4881868131868</v>
      </c>
      <c r="M13" s="138">
        <v>61.517582417582403</v>
      </c>
      <c r="N13" s="138">
        <v>62.546978021977999</v>
      </c>
      <c r="O13" s="138">
        <v>63.576373626373602</v>
      </c>
    </row>
    <row r="14" spans="1:15" ht="15" customHeight="1" x14ac:dyDescent="0.25">
      <c r="B14" s="64" t="s">
        <v>391</v>
      </c>
      <c r="C14" s="138">
        <f t="shared" ref="C14:O14" si="3">C9-C13</f>
        <v>0.70637362637359757</v>
      </c>
      <c r="D14" s="138">
        <f t="shared" si="3"/>
        <v>0.64697802197800058</v>
      </c>
      <c r="E14" s="65">
        <f t="shared" si="3"/>
        <v>-3.5024175824175998</v>
      </c>
      <c r="F14" s="138">
        <f t="shared" si="3"/>
        <v>1.0881868131868018</v>
      </c>
      <c r="G14" s="138">
        <f t="shared" si="3"/>
        <v>1.8987912087912022</v>
      </c>
      <c r="H14" s="138">
        <f t="shared" si="3"/>
        <v>-0.33060439560440358</v>
      </c>
      <c r="I14" s="138">
        <f t="shared" si="3"/>
        <v>1.6900000000000048</v>
      </c>
      <c r="J14" s="138">
        <f t="shared" si="3"/>
        <v>-1.0093956043955998</v>
      </c>
      <c r="K14" s="138">
        <f t="shared" si="3"/>
        <v>-7.8791208791194833E-2</v>
      </c>
      <c r="L14" s="138">
        <f t="shared" si="3"/>
        <v>1.8118131868131968</v>
      </c>
      <c r="M14" s="65">
        <f t="shared" si="3"/>
        <v>-7.9275824175823999</v>
      </c>
      <c r="N14" s="138">
        <f t="shared" si="3"/>
        <v>2.4030219780220037</v>
      </c>
      <c r="O14" s="138">
        <f t="shared" si="3"/>
        <v>2.6036263736264047</v>
      </c>
    </row>
    <row r="16" spans="1:15" ht="21.75" customHeight="1" x14ac:dyDescent="0.25">
      <c r="B16" s="2" t="s">
        <v>392</v>
      </c>
      <c r="C16" s="43"/>
      <c r="D16" s="43"/>
      <c r="E16" s="43"/>
      <c r="F16" s="43"/>
      <c r="G16" s="43"/>
      <c r="H16" s="43"/>
      <c r="I16" s="43"/>
      <c r="J16" s="43"/>
      <c r="K16" s="43"/>
      <c r="L16" s="43"/>
      <c r="M16" s="43"/>
      <c r="N16" s="43"/>
      <c r="O16" s="43"/>
    </row>
    <row r="18" spans="2:15" ht="15" customHeight="1" x14ac:dyDescent="0.25">
      <c r="B18" s="79" t="s">
        <v>393</v>
      </c>
      <c r="C18" s="139">
        <v>49.2</v>
      </c>
      <c r="D18" s="139">
        <v>50.6</v>
      </c>
      <c r="E18" s="139">
        <v>48.3</v>
      </c>
      <c r="F18" s="139">
        <v>56.7</v>
      </c>
      <c r="G18" s="139">
        <v>58.3</v>
      </c>
      <c r="H18" s="139">
        <v>56.7</v>
      </c>
      <c r="I18" s="139">
        <v>56.7</v>
      </c>
      <c r="J18" s="139">
        <v>58.3</v>
      </c>
      <c r="K18" s="139">
        <v>51.7</v>
      </c>
      <c r="L18" s="139">
        <v>60</v>
      </c>
      <c r="M18" s="139">
        <v>55</v>
      </c>
      <c r="N18" s="139">
        <v>60.35</v>
      </c>
      <c r="O18" s="139">
        <v>60.33</v>
      </c>
    </row>
    <row r="19" spans="2:15" ht="15" customHeight="1" x14ac:dyDescent="0.25">
      <c r="B19" s="64" t="s">
        <v>394</v>
      </c>
      <c r="C19" s="137">
        <f t="shared" ref="C19:O19" si="4">C9/C18-1</f>
        <v>5.5487804878048719E-2</v>
      </c>
      <c r="D19" s="137">
        <f t="shared" si="4"/>
        <v>4.5454545454545414E-2</v>
      </c>
      <c r="E19" s="137">
        <f t="shared" si="4"/>
        <v>3.0641821946169934E-2</v>
      </c>
      <c r="F19" s="137">
        <f t="shared" si="4"/>
        <v>-2.2927689594356315E-2</v>
      </c>
      <c r="G19" s="137">
        <f t="shared" si="4"/>
        <v>-1.8181818181818077E-2</v>
      </c>
      <c r="H19" s="137">
        <f t="shared" si="4"/>
        <v>-1.1640211640211673E-2</v>
      </c>
      <c r="I19" s="137">
        <f t="shared" si="4"/>
        <v>4.2151675485008866E-2</v>
      </c>
      <c r="J19" s="137">
        <f t="shared" si="4"/>
        <v>-1.5094339622641395E-2</v>
      </c>
      <c r="K19" s="137">
        <f t="shared" si="4"/>
        <v>0.1485493230174082</v>
      </c>
      <c r="L19" s="137">
        <f t="shared" si="4"/>
        <v>3.833333333333333E-2</v>
      </c>
      <c r="M19" s="137">
        <f t="shared" si="4"/>
        <v>-2.5636363636363568E-2</v>
      </c>
      <c r="N19" s="137">
        <f t="shared" si="4"/>
        <v>7.6222038111019019E-2</v>
      </c>
      <c r="O19" s="137">
        <f t="shared" si="4"/>
        <v>9.6966683242168283E-2</v>
      </c>
    </row>
    <row r="21" spans="2:15" ht="15" customHeight="1" x14ac:dyDescent="0.25">
      <c r="B21" s="79" t="s">
        <v>395</v>
      </c>
      <c r="C21" s="136" t="s">
        <v>396</v>
      </c>
      <c r="D21" s="136" t="s">
        <v>396</v>
      </c>
      <c r="E21" s="136" t="s">
        <v>396</v>
      </c>
      <c r="F21" s="136" t="s">
        <v>396</v>
      </c>
      <c r="G21" s="136" t="s">
        <v>396</v>
      </c>
      <c r="H21" s="139">
        <v>56</v>
      </c>
      <c r="I21" s="139">
        <v>60.5</v>
      </c>
      <c r="J21" s="139">
        <v>58.2</v>
      </c>
      <c r="K21" s="139">
        <v>59.5</v>
      </c>
      <c r="L21" s="139">
        <v>62</v>
      </c>
      <c r="M21" s="139">
        <v>54.4</v>
      </c>
      <c r="N21" s="139">
        <v>66</v>
      </c>
      <c r="O21" s="139">
        <v>67.3</v>
      </c>
    </row>
    <row r="22" spans="2:15" ht="15" customHeight="1" x14ac:dyDescent="0.25">
      <c r="B22" s="64" t="s">
        <v>397</v>
      </c>
      <c r="H22" s="138">
        <f t="shared" ref="H22:O22" si="5">H21-H9</f>
        <v>-3.9999999999999147E-2</v>
      </c>
      <c r="I22" s="138">
        <f t="shared" si="5"/>
        <v>1.4099999999999966</v>
      </c>
      <c r="J22" s="138">
        <f t="shared" si="5"/>
        <v>0.78000000000000114</v>
      </c>
      <c r="K22" s="138">
        <f t="shared" si="5"/>
        <v>0.11999999999999744</v>
      </c>
      <c r="L22" s="138">
        <f t="shared" si="5"/>
        <v>-0.29999999999999716</v>
      </c>
      <c r="M22" s="138">
        <f t="shared" si="5"/>
        <v>0.80999999999999517</v>
      </c>
      <c r="N22" s="138">
        <f t="shared" si="5"/>
        <v>1.0499999999999972</v>
      </c>
      <c r="O22" s="138">
        <f t="shared" si="5"/>
        <v>1.1199999999999903</v>
      </c>
    </row>
    <row r="24" spans="2:15" ht="15" customHeight="1" x14ac:dyDescent="0.25">
      <c r="B24" s="79" t="s">
        <v>398</v>
      </c>
      <c r="C24" s="139">
        <v>48.5</v>
      </c>
      <c r="D24" s="139">
        <v>53.2</v>
      </c>
      <c r="E24" s="139">
        <v>53.8</v>
      </c>
      <c r="F24" s="139">
        <v>58.2</v>
      </c>
      <c r="G24" s="139">
        <v>55.2</v>
      </c>
      <c r="H24" s="139">
        <v>56.7</v>
      </c>
      <c r="I24" s="139">
        <v>53.1</v>
      </c>
      <c r="J24" s="139">
        <v>57.2</v>
      </c>
      <c r="K24" s="139">
        <v>57.6</v>
      </c>
      <c r="L24" s="139">
        <v>55.5</v>
      </c>
      <c r="M24" s="139">
        <v>56.7</v>
      </c>
      <c r="N24" s="139">
        <v>57.2</v>
      </c>
      <c r="O24" s="139">
        <v>60</v>
      </c>
    </row>
    <row r="25" spans="2:15" ht="15" customHeight="1" x14ac:dyDescent="0.25">
      <c r="B25" s="64" t="s">
        <v>399</v>
      </c>
      <c r="C25" s="138">
        <f t="shared" ref="C25:O25" si="6">C9-C24</f>
        <v>3.4299999999999997</v>
      </c>
      <c r="D25" s="138">
        <f t="shared" si="6"/>
        <v>-0.30000000000000426</v>
      </c>
      <c r="E25" s="138">
        <f t="shared" si="6"/>
        <v>-4.019999999999996</v>
      </c>
      <c r="F25" s="138">
        <f t="shared" si="6"/>
        <v>-2.8000000000000043</v>
      </c>
      <c r="G25" s="138">
        <f t="shared" si="6"/>
        <v>2.0399999999999991</v>
      </c>
      <c r="H25" s="138">
        <f t="shared" si="6"/>
        <v>-0.66000000000000369</v>
      </c>
      <c r="I25" s="138">
        <f t="shared" si="6"/>
        <v>5.990000000000002</v>
      </c>
      <c r="J25" s="138">
        <f t="shared" si="6"/>
        <v>0.21999999999999886</v>
      </c>
      <c r="K25" s="138">
        <f t="shared" si="6"/>
        <v>1.7800000000000011</v>
      </c>
      <c r="L25" s="138">
        <f t="shared" si="6"/>
        <v>6.7999999999999972</v>
      </c>
      <c r="M25" s="138">
        <f t="shared" si="6"/>
        <v>-3.1099999999999994</v>
      </c>
      <c r="N25" s="138">
        <f t="shared" si="6"/>
        <v>7.75</v>
      </c>
      <c r="O25" s="138">
        <f t="shared" si="6"/>
        <v>6.1800000000000068</v>
      </c>
    </row>
    <row r="27" spans="2:15" ht="21.75" customHeight="1" x14ac:dyDescent="0.25">
      <c r="B27" s="2" t="s">
        <v>400</v>
      </c>
      <c r="C27" s="43"/>
      <c r="D27" s="43"/>
      <c r="E27" s="43"/>
      <c r="F27" s="43"/>
      <c r="G27" s="43"/>
      <c r="H27" s="43"/>
      <c r="I27" s="43"/>
      <c r="J27" s="43"/>
      <c r="K27" s="43"/>
      <c r="L27" s="43"/>
      <c r="M27" s="43"/>
      <c r="N27" s="43"/>
      <c r="O27" s="43"/>
    </row>
    <row r="29" spans="2:15" ht="15" customHeight="1" x14ac:dyDescent="0.25">
      <c r="B29" s="64" t="s">
        <v>401</v>
      </c>
      <c r="C29" s="139">
        <v>17</v>
      </c>
      <c r="D29" s="139">
        <v>17</v>
      </c>
      <c r="E29" s="139">
        <v>17</v>
      </c>
      <c r="F29" s="139">
        <v>17</v>
      </c>
      <c r="G29" s="139">
        <v>17</v>
      </c>
      <c r="H29" s="139">
        <v>17</v>
      </c>
      <c r="I29" s="139">
        <v>17</v>
      </c>
      <c r="J29" s="139">
        <v>17</v>
      </c>
      <c r="K29" s="139">
        <v>17</v>
      </c>
      <c r="L29" s="139">
        <v>17</v>
      </c>
      <c r="M29" s="139">
        <v>17</v>
      </c>
      <c r="N29" s="139">
        <v>20.5</v>
      </c>
      <c r="O29" s="139">
        <v>20.5</v>
      </c>
    </row>
    <row r="30" spans="2:15" ht="15" customHeight="1" x14ac:dyDescent="0.25">
      <c r="B30" s="58" t="s">
        <v>402</v>
      </c>
      <c r="C30" s="59">
        <f t="shared" ref="C30:O30" si="7">C29/C9</f>
        <v>0.32736375890621994</v>
      </c>
      <c r="D30" s="59">
        <f t="shared" si="7"/>
        <v>0.32136105860113423</v>
      </c>
      <c r="E30" s="59">
        <f t="shared" si="7"/>
        <v>0.34150261149055844</v>
      </c>
      <c r="F30" s="59">
        <f t="shared" si="7"/>
        <v>0.30685920577617332</v>
      </c>
      <c r="G30" s="59">
        <f t="shared" si="7"/>
        <v>0.29699510831586301</v>
      </c>
      <c r="H30" s="59">
        <f t="shared" si="7"/>
        <v>0.30335474660956457</v>
      </c>
      <c r="I30" s="59">
        <f t="shared" si="7"/>
        <v>0.28769673379590455</v>
      </c>
      <c r="J30" s="59">
        <f t="shared" si="7"/>
        <v>0.29606408916753746</v>
      </c>
      <c r="K30" s="59">
        <f t="shared" si="7"/>
        <v>0.28629168070057259</v>
      </c>
      <c r="L30" s="59">
        <f t="shared" si="7"/>
        <v>0.27287319422150885</v>
      </c>
      <c r="M30" s="59">
        <f t="shared" si="7"/>
        <v>0.31722336256764322</v>
      </c>
      <c r="N30" s="59">
        <f t="shared" si="7"/>
        <v>0.31562740569668973</v>
      </c>
      <c r="O30" s="59">
        <f t="shared" si="7"/>
        <v>0.30976125717739494</v>
      </c>
    </row>
    <row r="32" spans="2:15" ht="21.75" customHeight="1" x14ac:dyDescent="0.25">
      <c r="B32" s="2" t="s">
        <v>403</v>
      </c>
      <c r="C32" s="43"/>
      <c r="D32" s="43"/>
      <c r="E32" s="43"/>
      <c r="F32" s="43"/>
      <c r="G32" s="43"/>
      <c r="H32" s="43"/>
      <c r="I32" s="43"/>
      <c r="J32" s="43"/>
      <c r="K32" s="43"/>
      <c r="L32" s="43"/>
      <c r="M32" s="43"/>
      <c r="N32" s="43"/>
      <c r="O32" s="43"/>
    </row>
    <row r="34" spans="2:15" ht="15" customHeight="1" x14ac:dyDescent="0.25">
      <c r="B34" s="44" t="s">
        <v>404</v>
      </c>
      <c r="C34" s="63">
        <v>56.668333333333301</v>
      </c>
      <c r="D34" s="199" t="s">
        <v>405</v>
      </c>
      <c r="E34" s="199"/>
      <c r="F34" s="199"/>
      <c r="G34" s="199"/>
      <c r="H34" s="199"/>
      <c r="I34" s="199"/>
      <c r="J34" s="199"/>
    </row>
    <row r="35" spans="2:15" ht="15" customHeight="1" x14ac:dyDescent="0.25">
      <c r="B35" s="44" t="s">
        <v>406</v>
      </c>
      <c r="C35" s="63">
        <v>56.64</v>
      </c>
    </row>
    <row r="36" spans="2:15" ht="15" customHeight="1" x14ac:dyDescent="0.25">
      <c r="B36" s="44" t="s">
        <v>407</v>
      </c>
      <c r="C36" s="63">
        <v>4.3692309149184103</v>
      </c>
      <c r="D36" s="199" t="s">
        <v>408</v>
      </c>
      <c r="E36" s="199"/>
      <c r="F36" s="199"/>
      <c r="G36" s="199"/>
      <c r="H36" s="199"/>
      <c r="I36" s="199"/>
      <c r="J36" s="199"/>
    </row>
    <row r="37" spans="2:15" ht="15" customHeight="1" x14ac:dyDescent="0.25">
      <c r="B37" s="44" t="s">
        <v>409</v>
      </c>
      <c r="C37" s="63">
        <v>49.78</v>
      </c>
      <c r="D37" s="199" t="s">
        <v>410</v>
      </c>
      <c r="E37" s="199"/>
      <c r="F37" s="199"/>
      <c r="G37" s="199"/>
      <c r="H37" s="199"/>
      <c r="I37" s="199"/>
      <c r="J37" s="199"/>
    </row>
    <row r="38" spans="2:15" ht="15" customHeight="1" x14ac:dyDescent="0.25">
      <c r="B38" s="44" t="s">
        <v>411</v>
      </c>
      <c r="C38" s="63">
        <v>64.95</v>
      </c>
      <c r="D38" s="199" t="s">
        <v>412</v>
      </c>
      <c r="E38" s="199"/>
      <c r="F38" s="199"/>
      <c r="G38" s="199"/>
      <c r="H38" s="199"/>
      <c r="I38" s="199"/>
      <c r="J38" s="199"/>
    </row>
    <row r="39" spans="2:15" ht="15" customHeight="1" x14ac:dyDescent="0.25">
      <c r="B39" s="44" t="s">
        <v>413</v>
      </c>
      <c r="C39" s="59">
        <v>2.05465126032176E-2</v>
      </c>
      <c r="D39" s="199" t="s">
        <v>414</v>
      </c>
      <c r="E39" s="199"/>
      <c r="F39" s="199"/>
      <c r="G39" s="199"/>
      <c r="H39" s="199"/>
      <c r="I39" s="199"/>
      <c r="J39" s="199"/>
    </row>
    <row r="40" spans="2:15" ht="15" customHeight="1" x14ac:dyDescent="0.25">
      <c r="B40" s="44" t="s">
        <v>415</v>
      </c>
      <c r="C40" s="115">
        <v>1.0293956043956001</v>
      </c>
    </row>
    <row r="41" spans="2:15" ht="15" customHeight="1" x14ac:dyDescent="0.25">
      <c r="B41" s="44" t="s">
        <v>416</v>
      </c>
      <c r="C41" s="63">
        <v>67.693956043956007</v>
      </c>
      <c r="D41" s="199" t="s">
        <v>417</v>
      </c>
      <c r="E41" s="199"/>
      <c r="F41" s="199"/>
      <c r="G41" s="199"/>
      <c r="H41" s="199"/>
      <c r="I41" s="199"/>
      <c r="J41" s="199"/>
    </row>
    <row r="42" spans="2:15" ht="15" customHeight="1" x14ac:dyDescent="0.25">
      <c r="B42" s="44" t="s">
        <v>418</v>
      </c>
      <c r="C42" s="115">
        <v>4.28</v>
      </c>
      <c r="D42" s="199" t="s">
        <v>419</v>
      </c>
      <c r="E42" s="199"/>
      <c r="F42" s="199"/>
      <c r="G42" s="199"/>
      <c r="H42" s="199"/>
      <c r="I42" s="199"/>
      <c r="J42" s="199"/>
    </row>
    <row r="44" spans="2:15" ht="21.75" customHeight="1" x14ac:dyDescent="0.25">
      <c r="B44" s="2" t="s">
        <v>420</v>
      </c>
      <c r="C44" s="43"/>
      <c r="D44" s="43"/>
      <c r="E44" s="43"/>
      <c r="F44" s="43"/>
      <c r="G44" s="43"/>
      <c r="H44" s="43"/>
      <c r="I44" s="43"/>
      <c r="J44" s="43"/>
      <c r="K44" s="43"/>
      <c r="L44" s="43"/>
      <c r="M44" s="43"/>
      <c r="N44" s="43"/>
      <c r="O44" s="43"/>
    </row>
    <row r="46" spans="2:15" ht="15" customHeight="1" x14ac:dyDescent="0.25">
      <c r="B46" s="140" t="s">
        <v>421</v>
      </c>
      <c r="C46" s="141" t="s">
        <v>422</v>
      </c>
      <c r="D46" s="141" t="s">
        <v>423</v>
      </c>
      <c r="E46" s="141" t="s">
        <v>424</v>
      </c>
      <c r="F46" s="140" t="s">
        <v>425</v>
      </c>
      <c r="G46" s="142"/>
      <c r="H46" s="142"/>
      <c r="I46" s="142"/>
      <c r="J46" s="142"/>
      <c r="K46" s="142"/>
    </row>
    <row r="47" spans="2:15" ht="15" customHeight="1" x14ac:dyDescent="0.25">
      <c r="B47" s="58" t="s">
        <v>62</v>
      </c>
      <c r="C47" s="133">
        <v>65</v>
      </c>
      <c r="D47" s="65">
        <v>-7</v>
      </c>
      <c r="E47" s="143" t="s">
        <v>426</v>
      </c>
      <c r="F47" s="199" t="s">
        <v>427</v>
      </c>
      <c r="G47" s="199"/>
      <c r="H47" s="199"/>
      <c r="I47" s="199"/>
      <c r="J47" s="199"/>
      <c r="K47" s="199"/>
      <c r="L47" s="199"/>
    </row>
    <row r="48" spans="2:15" ht="15" customHeight="1" x14ac:dyDescent="0.25">
      <c r="B48" s="58" t="s">
        <v>63</v>
      </c>
      <c r="C48" s="133">
        <v>68</v>
      </c>
      <c r="D48" s="65">
        <v>-4</v>
      </c>
      <c r="E48" s="143" t="s">
        <v>428</v>
      </c>
      <c r="F48" s="199" t="s">
        <v>429</v>
      </c>
      <c r="G48" s="199"/>
      <c r="H48" s="199"/>
      <c r="I48" s="199"/>
      <c r="J48" s="199"/>
      <c r="K48" s="199"/>
      <c r="L48" s="199"/>
    </row>
    <row r="49" spans="2:12" ht="15" customHeight="1" x14ac:dyDescent="0.25">
      <c r="B49" s="58" t="s">
        <v>64</v>
      </c>
      <c r="C49" s="133">
        <v>72</v>
      </c>
      <c r="D49" s="65">
        <v>0</v>
      </c>
      <c r="E49" s="143" t="s">
        <v>430</v>
      </c>
      <c r="F49" s="199" t="s">
        <v>431</v>
      </c>
      <c r="G49" s="199"/>
      <c r="H49" s="199"/>
      <c r="I49" s="199"/>
      <c r="J49" s="199"/>
      <c r="K49" s="199"/>
      <c r="L49" s="199"/>
    </row>
    <row r="50" spans="2:12" ht="15" customHeight="1" x14ac:dyDescent="0.25">
      <c r="B50" s="58" t="s">
        <v>65</v>
      </c>
      <c r="C50" s="133">
        <v>76</v>
      </c>
      <c r="D50" s="65">
        <v>4</v>
      </c>
      <c r="E50" s="143" t="s">
        <v>432</v>
      </c>
      <c r="F50" s="199" t="s">
        <v>433</v>
      </c>
      <c r="G50" s="199"/>
      <c r="H50" s="199"/>
      <c r="I50" s="199"/>
      <c r="J50" s="199"/>
      <c r="K50" s="199"/>
      <c r="L50" s="199"/>
    </row>
    <row r="51" spans="2:12" ht="15" customHeight="1" x14ac:dyDescent="0.25">
      <c r="B51" s="58" t="s">
        <v>66</v>
      </c>
      <c r="C51" s="133">
        <v>79</v>
      </c>
      <c r="D51" s="65">
        <v>7</v>
      </c>
      <c r="E51" s="143" t="s">
        <v>434</v>
      </c>
      <c r="F51" s="199" t="s">
        <v>435</v>
      </c>
      <c r="G51" s="199"/>
      <c r="H51" s="199"/>
      <c r="I51" s="199"/>
      <c r="J51" s="199"/>
      <c r="K51" s="199"/>
      <c r="L51" s="199"/>
    </row>
    <row r="54" spans="2:12" ht="15" customHeight="1" x14ac:dyDescent="0.25">
      <c r="B54" s="24" t="s">
        <v>436</v>
      </c>
    </row>
    <row r="55" spans="2:12" ht="27.75" customHeight="1" x14ac:dyDescent="0.25">
      <c r="B55" s="192" t="s">
        <v>437</v>
      </c>
      <c r="C55" s="192"/>
      <c r="D55" s="192"/>
      <c r="E55" s="192"/>
      <c r="F55" s="192"/>
      <c r="G55" s="192"/>
      <c r="H55" s="192"/>
      <c r="I55" s="192"/>
      <c r="J55" s="192"/>
      <c r="K55" s="192"/>
    </row>
    <row r="56" spans="2:12" ht="27.75" customHeight="1" x14ac:dyDescent="0.25">
      <c r="B56" s="192" t="s">
        <v>438</v>
      </c>
      <c r="C56" s="192"/>
      <c r="D56" s="192"/>
      <c r="E56" s="192"/>
      <c r="F56" s="192"/>
      <c r="G56" s="192"/>
      <c r="H56" s="192"/>
      <c r="I56" s="192"/>
      <c r="J56" s="192"/>
      <c r="K56" s="192"/>
    </row>
    <row r="57" spans="2:12" ht="27.75" customHeight="1" x14ac:dyDescent="0.25">
      <c r="B57" s="192" t="s">
        <v>439</v>
      </c>
      <c r="C57" s="192"/>
      <c r="D57" s="192"/>
      <c r="E57" s="192"/>
      <c r="F57" s="192"/>
      <c r="G57" s="192"/>
      <c r="H57" s="192"/>
      <c r="I57" s="192"/>
      <c r="J57" s="192"/>
      <c r="K57" s="192"/>
    </row>
    <row r="58" spans="2:12" ht="27.75" customHeight="1" x14ac:dyDescent="0.25">
      <c r="B58" s="192" t="s">
        <v>440</v>
      </c>
      <c r="C58" s="192"/>
      <c r="D58" s="192"/>
      <c r="E58" s="192"/>
      <c r="F58" s="192"/>
      <c r="G58" s="192"/>
      <c r="H58" s="192"/>
      <c r="I58" s="192"/>
      <c r="J58" s="192"/>
      <c r="K58" s="192"/>
    </row>
    <row r="59" spans="2:12" ht="27.75" customHeight="1" x14ac:dyDescent="0.25">
      <c r="B59" s="192" t="s">
        <v>441</v>
      </c>
      <c r="C59" s="192"/>
      <c r="D59" s="192"/>
      <c r="E59" s="192"/>
      <c r="F59" s="192"/>
      <c r="G59" s="192"/>
      <c r="H59" s="192"/>
      <c r="I59" s="192"/>
      <c r="J59" s="192"/>
      <c r="K59" s="192"/>
    </row>
    <row r="60" spans="2:12" ht="27.75" customHeight="1" x14ac:dyDescent="0.25">
      <c r="B60" s="192" t="s">
        <v>442</v>
      </c>
      <c r="C60" s="192"/>
      <c r="D60" s="192"/>
      <c r="E60" s="192"/>
      <c r="F60" s="192"/>
      <c r="G60" s="192"/>
      <c r="H60" s="192"/>
      <c r="I60" s="192"/>
      <c r="J60" s="192"/>
      <c r="K60" s="192"/>
    </row>
    <row r="61" spans="2:12" ht="27.75" customHeight="1" x14ac:dyDescent="0.25">
      <c r="B61" s="192" t="s">
        <v>443</v>
      </c>
      <c r="C61" s="192"/>
      <c r="D61" s="192"/>
      <c r="E61" s="192"/>
      <c r="F61" s="192"/>
      <c r="G61" s="192"/>
      <c r="H61" s="192"/>
      <c r="I61" s="192"/>
      <c r="J61" s="192"/>
      <c r="K61" s="192"/>
    </row>
    <row r="62" spans="2:12" ht="27.75" customHeight="1" x14ac:dyDescent="0.25">
      <c r="B62" s="192" t="s">
        <v>444</v>
      </c>
      <c r="C62" s="192"/>
      <c r="D62" s="192"/>
      <c r="E62" s="192"/>
      <c r="F62" s="192"/>
      <c r="G62" s="192"/>
      <c r="H62" s="192"/>
      <c r="I62" s="192"/>
      <c r="J62" s="192"/>
      <c r="K62" s="192"/>
    </row>
  </sheetData>
  <mergeCells count="21">
    <mergeCell ref="B3:M3"/>
    <mergeCell ref="D34:J34"/>
    <mergeCell ref="D36:J36"/>
    <mergeCell ref="D37:J37"/>
    <mergeCell ref="D38:J38"/>
    <mergeCell ref="D39:J39"/>
    <mergeCell ref="D41:J41"/>
    <mergeCell ref="D42:J42"/>
    <mergeCell ref="F47:L47"/>
    <mergeCell ref="F48:L48"/>
    <mergeCell ref="F49:L49"/>
    <mergeCell ref="F50:L50"/>
    <mergeCell ref="F51:L51"/>
    <mergeCell ref="B55:K55"/>
    <mergeCell ref="B56:K56"/>
    <mergeCell ref="B62:K62"/>
    <mergeCell ref="B57:K57"/>
    <mergeCell ref="B58:K58"/>
    <mergeCell ref="B59:K59"/>
    <mergeCell ref="B60:K60"/>
    <mergeCell ref="B61:K6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Assumptions</vt:lpstr>
      <vt:lpstr>Revenue Drivers</vt:lpstr>
      <vt:lpstr>Model</vt:lpstr>
      <vt:lpstr>Summary</vt:lpstr>
      <vt:lpstr>Valuation</vt:lpstr>
      <vt:lpstr>NAV Analysis</vt:lpstr>
      <vt:lpstr>Sensitivities</vt:lpstr>
      <vt:lpstr>Soybean Yield History</vt:lpstr>
      <vt:lpstr>Land Value History</vt:lpstr>
      <vt:lpstr>Comps</vt:lpstr>
      <vt:lpstr>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Noah Goldberg</cp:lastModifiedBy>
  <dcterms:modified xsi:type="dcterms:W3CDTF">2026-04-29T01:07:31Z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2026-04-26T19:33:21Z</dcterms:created>
  <dc:creator>openpyxl</dc:creator>
  <dc:description/>
  <dc:language>en-US</dc:language>
  <cp:lastModifiedBy/>
  <dcterms:modified xsi:type="dcterms:W3CDTF">2026-04-27T01:45:16Z</dcterms:modified>
  <cp:revision>0</cp:revision>
  <dc:subject/>
  <dc:title/>
</cp:coreProperties>
</file>